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ronald\Desktop\"/>
    </mc:Choice>
  </mc:AlternateContent>
  <xr:revisionPtr revIDLastSave="0" documentId="8_{DD351C93-6CCA-475E-A846-EA069C6A186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Blad1!$A$1:$K$65</definedName>
  </definedNames>
  <calcPr calcId="181029"/>
</workbook>
</file>

<file path=xl/calcChain.xml><?xml version="1.0" encoding="utf-8"?>
<calcChain xmlns="http://schemas.openxmlformats.org/spreadsheetml/2006/main">
  <c r="D12" i="1" l="1"/>
  <c r="D16" i="1"/>
  <c r="D20" i="1"/>
  <c r="C12" i="1" l="1"/>
  <c r="H12" i="1"/>
  <c r="C20" i="1"/>
  <c r="C16" i="1"/>
  <c r="C9" i="1"/>
  <c r="H5" i="1" l="1"/>
  <c r="D7" i="1"/>
  <c r="H7" i="1" s="1"/>
  <c r="D6" i="1"/>
  <c r="H6" i="1" s="1"/>
  <c r="I1" i="1" l="1"/>
  <c r="D8" i="1"/>
  <c r="H20" i="1"/>
  <c r="H8" i="1" l="1"/>
  <c r="H9" i="1" s="1"/>
  <c r="D9" i="1"/>
  <c r="J9" i="1" s="1"/>
  <c r="K9" i="1" l="1"/>
  <c r="D13" i="1"/>
  <c r="J13" i="1" s="1"/>
  <c r="H13" i="1"/>
  <c r="H17" i="1" l="1"/>
  <c r="H21" i="1" s="1"/>
  <c r="D17" i="1"/>
  <c r="D21" i="1" s="1"/>
  <c r="E13" i="1"/>
  <c r="E17" i="1" l="1"/>
  <c r="K13" i="1"/>
  <c r="I13" i="1" s="1"/>
  <c r="E21" i="1"/>
  <c r="J17" i="1"/>
  <c r="K17" i="1" l="1"/>
  <c r="I17" i="1" s="1"/>
  <c r="J21" i="1"/>
  <c r="K21" i="1" l="1"/>
  <c r="I21" i="1" s="1"/>
</calcChain>
</file>

<file path=xl/sharedStrings.xml><?xml version="1.0" encoding="utf-8"?>
<sst xmlns="http://schemas.openxmlformats.org/spreadsheetml/2006/main" count="43" uniqueCount="30">
  <si>
    <t>Mass</t>
  </si>
  <si>
    <t>Arm</t>
  </si>
  <si>
    <t>Moment</t>
  </si>
  <si>
    <t>CG</t>
  </si>
  <si>
    <t xml:space="preserve">  </t>
  </si>
  <si>
    <t>Naam gezagvoerder:</t>
  </si>
  <si>
    <t>Handtekening gezagvoerder:</t>
  </si>
  <si>
    <t>PH-ACT</t>
  </si>
  <si>
    <t>Flevo-Skyteam</t>
  </si>
  <si>
    <t>Basic empty mass</t>
  </si>
  <si>
    <t>Front seat</t>
  </si>
  <si>
    <t>Rear seat</t>
  </si>
  <si>
    <t>Total fuel (USG)</t>
  </si>
  <si>
    <t>Ramp mass</t>
  </si>
  <si>
    <t>Zero fuel mass</t>
  </si>
  <si>
    <t>Taxi fuel (USG)</t>
  </si>
  <si>
    <r>
      <t xml:space="preserve">Take-off mass </t>
    </r>
    <r>
      <rPr>
        <b/>
        <sz val="10"/>
        <color rgb="FFFF0000"/>
        <rFont val="Arial"/>
        <family val="2"/>
      </rPr>
      <t>(MAX 2550 lbs)</t>
    </r>
  </si>
  <si>
    <t>Trip fuel (USG)</t>
  </si>
  <si>
    <t>Landing mass</t>
  </si>
  <si>
    <t>Kg</t>
  </si>
  <si>
    <t>Liters</t>
  </si>
  <si>
    <t>U.S. Gallons</t>
  </si>
  <si>
    <t>Bagage / aft. seat</t>
  </si>
  <si>
    <t>Aft. limit</t>
  </si>
  <si>
    <t>Forward limit</t>
  </si>
  <si>
    <t>Inch.lbs/1000</t>
  </si>
  <si>
    <t>Inch</t>
  </si>
  <si>
    <t>Lbs</t>
  </si>
  <si>
    <t>Weighing report date: 25-2-2015</t>
  </si>
  <si>
    <r>
      <t xml:space="preserve">W&amp;B 4.0 dated 4-4-2021  </t>
    </r>
    <r>
      <rPr>
        <b/>
        <i/>
        <sz val="10"/>
        <color theme="3" tint="-0.499984740745262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MTOM 2,550LBS!!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</si>
</sst>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b/>
      <i/>
      <sz val="10"/>
      <color theme="3" tint="-0.499984740745262"/>
      <name val="Arial"/>
      <family val="2"/>
    </font>
    <font>
      <sz val="14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i/>
      <sz val="28"/>
      <color theme="3" tint="-0.49998474074526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6" fillId="0" borderId="0" xfId="0" applyNumberFormat="1" applyFont="1" applyBorder="1"/>
    <xf numFmtId="14" fontId="7" fillId="0" borderId="0" xfId="0" applyNumberFormat="1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5" fillId="5" borderId="0" xfId="0" applyFont="1" applyFill="1"/>
    <xf numFmtId="0" fontId="5" fillId="0" borderId="0" xfId="0" applyFont="1" applyAlignment="1">
      <alignment horizontal="center"/>
    </xf>
    <xf numFmtId="0" fontId="13" fillId="0" borderId="0" xfId="0" applyFont="1" applyBorder="1"/>
    <xf numFmtId="2" fontId="5" fillId="2" borderId="0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Standaard" xfId="0" builtinId="0"/>
  </cellStyles>
  <dxfs count="9"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Center of Gravity moment envelope</a:t>
            </a:r>
          </a:p>
        </c:rich>
      </c:tx>
      <c:layout>
        <c:manualLayout>
          <c:xMode val="edge"/>
          <c:yMode val="edge"/>
          <c:x val="0.2211640211640212"/>
          <c:y val="2.6856240126382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381006277095"/>
          <c:y val="0.23541582849589623"/>
          <c:w val="0.71272519987360095"/>
          <c:h val="0.56375895771384565"/>
        </c:manualLayout>
      </c:layout>
      <c:scatterChart>
        <c:scatterStyle val="lineMarker"/>
        <c:varyColors val="0"/>
        <c:ser>
          <c:idx val="0"/>
          <c:order val="0"/>
          <c:tx>
            <c:v>Ramp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Blad1!$H$13</c:f>
              <c:numCache>
                <c:formatCode>General</c:formatCode>
                <c:ptCount val="1"/>
                <c:pt idx="0">
                  <c:v>108.46395828271451</c:v>
                </c:pt>
              </c:numCache>
            </c:numRef>
          </c:xVal>
          <c:yVal>
            <c:numRef>
              <c:f>Blad1!$D$13</c:f>
              <c:numCache>
                <c:formatCode>0.0</c:formatCode>
                <c:ptCount val="1"/>
                <c:pt idx="0">
                  <c:v>2526.7303700845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81-41E7-BA50-21BC2B02D614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Blad1!$H$17</c:f>
              <c:numCache>
                <c:formatCode>General</c:formatCode>
                <c:ptCount val="1"/>
                <c:pt idx="0">
                  <c:v>107.86395828271452</c:v>
                </c:pt>
              </c:numCache>
            </c:numRef>
          </c:xVal>
          <c:yVal>
            <c:numRef>
              <c:f>Blad1!$D$17</c:f>
              <c:numCache>
                <c:formatCode>0.0</c:formatCode>
                <c:ptCount val="1"/>
                <c:pt idx="0">
                  <c:v>2520.7303700845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81-41E7-BA50-21BC2B02D614}"/>
            </c:ext>
          </c:extLst>
        </c:ser>
        <c:ser>
          <c:idx val="2"/>
          <c:order val="2"/>
          <c:tx>
            <c:v>Landing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Blad1!$H$21</c:f>
              <c:numCache>
                <c:formatCode>General</c:formatCode>
                <c:ptCount val="1"/>
                <c:pt idx="0">
                  <c:v>106.06395828271452</c:v>
                </c:pt>
              </c:numCache>
            </c:numRef>
          </c:xVal>
          <c:yVal>
            <c:numRef>
              <c:f>Blad1!$D$21</c:f>
              <c:numCache>
                <c:formatCode>0.0</c:formatCode>
                <c:ptCount val="1"/>
                <c:pt idx="0">
                  <c:v>2484.7303700845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81-41E7-BA50-21BC2B02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973440"/>
        <c:axId val="161675480"/>
      </c:scatterChart>
      <c:valAx>
        <c:axId val="161973440"/>
        <c:scaling>
          <c:orientation val="minMax"/>
          <c:max val="130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moment/1000 (lbs-inch)</a:t>
                </a:r>
              </a:p>
            </c:rich>
          </c:tx>
          <c:layout>
            <c:manualLayout>
              <c:xMode val="edge"/>
              <c:yMode val="edge"/>
              <c:x val="0.32486805815941033"/>
              <c:y val="0.93049122414200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1675480"/>
        <c:crossesAt val="45"/>
        <c:crossBetween val="midCat"/>
        <c:majorUnit val="5"/>
        <c:minorUnit val="1"/>
      </c:valAx>
      <c:valAx>
        <c:axId val="161675480"/>
        <c:scaling>
          <c:orientation val="minMax"/>
          <c:max val="255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Loaded aircraft  weight (lbs)</a:t>
                </a:r>
              </a:p>
            </c:rich>
          </c:tx>
          <c:layout>
            <c:manualLayout>
              <c:xMode val="edge"/>
              <c:yMode val="edge"/>
              <c:x val="1.6931216931216932E-2"/>
              <c:y val="0.352291176873032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61973440"/>
        <c:crossesAt val="0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23960874135856"/>
          <c:y val="0.4677340803010458"/>
          <c:w val="8.7768830251497065E-2"/>
          <c:h val="0.108415184175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29678</xdr:colOff>
      <xdr:row>28</xdr:row>
      <xdr:rowOff>86195</xdr:rowOff>
    </xdr:from>
    <xdr:to>
      <xdr:col>10</xdr:col>
      <xdr:colOff>582128</xdr:colOff>
      <xdr:row>65</xdr:row>
      <xdr:rowOff>124295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71438</xdr:colOff>
      <xdr:row>55</xdr:row>
      <xdr:rowOff>1814</xdr:rowOff>
    </xdr:from>
    <xdr:to>
      <xdr:col>2</xdr:col>
      <xdr:colOff>649288</xdr:colOff>
      <xdr:row>57</xdr:row>
      <xdr:rowOff>30389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28863" y="9774464"/>
          <a:ext cx="5778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Utility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Category</a:t>
          </a:r>
        </a:p>
      </xdr:txBody>
    </xdr:sp>
    <xdr:clientData/>
  </xdr:twoCellAnchor>
  <xdr:twoCellAnchor>
    <xdr:from>
      <xdr:col>4</xdr:col>
      <xdr:colOff>330200</xdr:colOff>
      <xdr:row>50</xdr:row>
      <xdr:rowOff>158750</xdr:rowOff>
    </xdr:from>
    <xdr:to>
      <xdr:col>5</xdr:col>
      <xdr:colOff>288925</xdr:colOff>
      <xdr:row>53</xdr:row>
      <xdr:rowOff>22225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911600" y="9277350"/>
          <a:ext cx="568325" cy="35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Normal</a:t>
          </a:r>
        </a:p>
        <a:p>
          <a:pPr algn="l" rtl="0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Category</a:t>
          </a:r>
        </a:p>
      </xdr:txBody>
    </xdr:sp>
    <xdr:clientData/>
  </xdr:twoCellAnchor>
  <xdr:twoCellAnchor>
    <xdr:from>
      <xdr:col>2</xdr:col>
      <xdr:colOff>561975</xdr:colOff>
      <xdr:row>0</xdr:row>
      <xdr:rowOff>95250</xdr:rowOff>
    </xdr:from>
    <xdr:to>
      <xdr:col>4</xdr:col>
      <xdr:colOff>95250</xdr:colOff>
      <xdr:row>0</xdr:row>
      <xdr:rowOff>590550</xdr:rowOff>
    </xdr:to>
    <xdr:pic>
      <xdr:nvPicPr>
        <xdr:cNvPr id="3" name="Pictur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19400" y="95250"/>
          <a:ext cx="857250" cy="495300"/>
        </a:xfrm>
        <a:prstGeom prst="rect">
          <a:avLst/>
        </a:prstGeom>
        <a:solidFill>
          <a:srgbClr val="0000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0.40438</cdr:x>
      <cdr:y>0.23537</cdr:y>
    </cdr:from>
    <cdr:to>
      <cdr:x>0.79741</cdr:x>
      <cdr:y>0.79852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640459" y="1431001"/>
          <a:ext cx="3538247" cy="34237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0.63417</cdr:x>
      <cdr:y>0.23537</cdr:y>
    </cdr:from>
    <cdr:to>
      <cdr:x>0.79741</cdr:x>
      <cdr:y>0.23593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09134" y="1431001"/>
          <a:ext cx="1469571" cy="34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0.2139</cdr:x>
      <cdr:y>0.56271</cdr:y>
    </cdr:from>
    <cdr:to>
      <cdr:x>0.3582</cdr:x>
      <cdr:y>0.79852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927204" y="3361425"/>
          <a:ext cx="1300060" cy="14086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0.3587</cdr:x>
      <cdr:y>0.23542</cdr:y>
    </cdr:from>
    <cdr:to>
      <cdr:x>0.63476</cdr:x>
      <cdr:y>0.5627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29233" y="1431247"/>
          <a:ext cx="2485192" cy="19898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0.29334</cdr:x>
      <cdr:y>0.47627</cdr:y>
    </cdr:from>
    <cdr:to>
      <cdr:x>0.49119</cdr:x>
      <cdr:y>0.79813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42880" y="2845071"/>
          <a:ext cx="1782528" cy="19227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  <cdr:relSizeAnchor xmlns:cdr="http://schemas.openxmlformats.org/drawingml/2006/chartDrawing">
    <cdr:from>
      <cdr:x>0.4322</cdr:x>
      <cdr:y>0.47597</cdr:y>
    </cdr:from>
    <cdr:to>
      <cdr:x>0.49247</cdr:x>
      <cdr:y>0.47627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90917" y="2893769"/>
          <a:ext cx="542547" cy="17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NL"/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topLeftCell="A16" zoomScaleNormal="100" workbookViewId="0">
      <selection activeCell="C13" sqref="C13"/>
    </sheetView>
  </sheetViews>
  <sheetFormatPr defaultRowHeight="13.2" x14ac:dyDescent="0.25"/>
  <cols>
    <col min="1" max="1" width="20" customWidth="1"/>
    <col min="2" max="2" width="13.88671875" style="2" customWidth="1"/>
    <col min="3" max="3" width="10.6640625" style="2" bestFit="1" customWidth="1"/>
    <col min="4" max="7" width="9.109375" style="2"/>
    <col min="8" max="8" width="13" style="2" customWidth="1"/>
    <col min="9" max="9" width="21" customWidth="1"/>
    <col min="10" max="10" width="11.5546875" customWidth="1"/>
  </cols>
  <sheetData>
    <row r="1" spans="1:13" ht="75" customHeight="1" x14ac:dyDescent="0.55000000000000004">
      <c r="A1" s="38" t="s">
        <v>8</v>
      </c>
      <c r="B1" s="8"/>
      <c r="C1" s="9"/>
      <c r="D1" s="9"/>
      <c r="E1" s="9"/>
      <c r="F1" s="9"/>
      <c r="G1" s="9"/>
      <c r="H1" s="10" t="s">
        <v>7</v>
      </c>
      <c r="I1" s="11">
        <f ca="1">TODAY()</f>
        <v>44294</v>
      </c>
      <c r="J1" s="12"/>
      <c r="K1" s="13"/>
      <c r="L1" s="7"/>
      <c r="M1" s="7"/>
    </row>
    <row r="2" spans="1:13" x14ac:dyDescent="0.25">
      <c r="A2" s="14" t="s">
        <v>29</v>
      </c>
      <c r="B2" s="9"/>
      <c r="C2" s="9"/>
      <c r="D2" s="9"/>
      <c r="E2" s="9"/>
      <c r="F2" s="9"/>
      <c r="G2" s="9"/>
      <c r="H2" s="9"/>
      <c r="I2" s="15"/>
      <c r="J2" s="15"/>
      <c r="K2" s="16" t="s">
        <v>28</v>
      </c>
    </row>
    <row r="3" spans="1:13" s="3" customFormat="1" ht="18.75" customHeight="1" x14ac:dyDescent="0.3">
      <c r="A3" s="17"/>
      <c r="B3" s="17"/>
      <c r="C3" s="18" t="s">
        <v>0</v>
      </c>
      <c r="D3" s="17"/>
      <c r="E3" s="17"/>
      <c r="F3" s="18" t="s">
        <v>1</v>
      </c>
      <c r="G3" s="17"/>
      <c r="H3" s="18" t="s">
        <v>2</v>
      </c>
      <c r="I3" s="19"/>
      <c r="J3" s="20" t="s">
        <v>3</v>
      </c>
      <c r="K3" s="20" t="s">
        <v>3</v>
      </c>
    </row>
    <row r="4" spans="1:13" s="2" customFormat="1" x14ac:dyDescent="0.25">
      <c r="A4" s="21"/>
      <c r="B4" s="21"/>
      <c r="C4" s="21" t="s">
        <v>19</v>
      </c>
      <c r="D4" s="21" t="s">
        <v>27</v>
      </c>
      <c r="E4" s="21"/>
      <c r="F4" s="21" t="s">
        <v>26</v>
      </c>
      <c r="G4" s="21"/>
      <c r="H4" s="21" t="s">
        <v>25</v>
      </c>
      <c r="I4" s="22"/>
      <c r="J4" s="22" t="s">
        <v>24</v>
      </c>
      <c r="K4" s="22" t="s">
        <v>23</v>
      </c>
    </row>
    <row r="5" spans="1:13" x14ac:dyDescent="0.25">
      <c r="A5" s="23" t="s">
        <v>9</v>
      </c>
      <c r="B5" s="24"/>
      <c r="C5" s="44">
        <v>711.7</v>
      </c>
      <c r="D5" s="45">
        <v>1569.02</v>
      </c>
      <c r="E5" s="45"/>
      <c r="F5" s="52">
        <v>36</v>
      </c>
      <c r="G5" s="45"/>
      <c r="H5" s="46">
        <f>(D5*F5)/1000</f>
        <v>56.484720000000003</v>
      </c>
      <c r="I5" s="48"/>
      <c r="J5" s="48"/>
      <c r="K5" s="48"/>
    </row>
    <row r="6" spans="1:13" x14ac:dyDescent="0.25">
      <c r="A6" s="23" t="s">
        <v>10</v>
      </c>
      <c r="B6" s="25"/>
      <c r="C6" s="44">
        <v>190</v>
      </c>
      <c r="D6" s="46">
        <f>(C6*2.20462262185)</f>
        <v>418.87829815150002</v>
      </c>
      <c r="E6" s="45"/>
      <c r="F6" s="47">
        <v>37</v>
      </c>
      <c r="G6" s="45"/>
      <c r="H6" s="46">
        <f>(D6*F6)/1000</f>
        <v>15.498497031605501</v>
      </c>
      <c r="I6" s="48"/>
      <c r="J6" s="48"/>
      <c r="K6" s="48"/>
    </row>
    <row r="7" spans="1:13" x14ac:dyDescent="0.25">
      <c r="A7" s="23" t="s">
        <v>11</v>
      </c>
      <c r="B7" s="25"/>
      <c r="C7" s="44">
        <v>180</v>
      </c>
      <c r="D7" s="46">
        <f>(C7*2.20462262185)</f>
        <v>396.83207193300001</v>
      </c>
      <c r="E7" s="45"/>
      <c r="F7" s="47">
        <v>73</v>
      </c>
      <c r="G7" s="45"/>
      <c r="H7" s="46">
        <f>(D7*F7)/1000</f>
        <v>28.968741251109002</v>
      </c>
      <c r="I7" s="48"/>
      <c r="J7" s="48"/>
      <c r="K7" s="48"/>
    </row>
    <row r="8" spans="1:13" x14ac:dyDescent="0.25">
      <c r="A8" s="23" t="s">
        <v>22</v>
      </c>
      <c r="B8" s="25"/>
      <c r="C8" s="44">
        <v>10</v>
      </c>
      <c r="D8" s="45">
        <f>(C8*2.2)</f>
        <v>22</v>
      </c>
      <c r="E8" s="45"/>
      <c r="F8" s="47">
        <v>96</v>
      </c>
      <c r="G8" s="45"/>
      <c r="H8" s="45">
        <f>(D8*F8)/1000</f>
        <v>2.1120000000000001</v>
      </c>
      <c r="I8" s="48"/>
      <c r="J8" s="48"/>
      <c r="K8" s="48"/>
    </row>
    <row r="9" spans="1:13" s="6" customFormat="1" x14ac:dyDescent="0.25">
      <c r="A9" s="27" t="s">
        <v>14</v>
      </c>
      <c r="B9" s="28"/>
      <c r="C9" s="49">
        <f>SUM(C5:C8)</f>
        <v>1091.7</v>
      </c>
      <c r="D9" s="50">
        <f>SUM(D5:D8)</f>
        <v>2406.7303700845</v>
      </c>
      <c r="E9" s="49"/>
      <c r="F9" s="49"/>
      <c r="G9" s="49"/>
      <c r="H9" s="50">
        <f>SUM(H5:H8)</f>
        <v>103.06395828271451</v>
      </c>
      <c r="I9" s="51"/>
      <c r="J9" s="54">
        <f>(50.5+((D9-1500)/21.05))</f>
        <v>93.575076963634203</v>
      </c>
      <c r="K9" s="54">
        <f>SUM(J9+20.5)</f>
        <v>114.0750769636342</v>
      </c>
    </row>
    <row r="10" spans="1:13" x14ac:dyDescent="0.25">
      <c r="A10" s="14"/>
      <c r="B10" s="9"/>
      <c r="C10" s="9"/>
      <c r="D10" s="9"/>
      <c r="E10" s="9"/>
      <c r="F10" s="9"/>
      <c r="G10" s="9"/>
      <c r="H10" s="9"/>
      <c r="I10" s="15"/>
      <c r="J10" s="42"/>
      <c r="K10" s="55"/>
    </row>
    <row r="11" spans="1:13" s="5" customFormat="1" x14ac:dyDescent="0.25">
      <c r="A11" s="21"/>
      <c r="B11" s="21" t="s">
        <v>21</v>
      </c>
      <c r="C11" s="21" t="s">
        <v>20</v>
      </c>
      <c r="D11" s="21" t="s">
        <v>27</v>
      </c>
      <c r="E11" s="21"/>
      <c r="F11" s="21" t="s">
        <v>26</v>
      </c>
      <c r="G11" s="21"/>
      <c r="H11" s="21" t="s">
        <v>25</v>
      </c>
      <c r="I11" s="22"/>
      <c r="J11" s="40"/>
      <c r="K11" s="56"/>
    </row>
    <row r="12" spans="1:13" x14ac:dyDescent="0.25">
      <c r="A12" s="23" t="s">
        <v>12</v>
      </c>
      <c r="B12" s="9">
        <v>20</v>
      </c>
      <c r="C12" s="39">
        <f>B12*3.78541178</f>
        <v>75.708235599999995</v>
      </c>
      <c r="D12" s="39">
        <f>(B12*6)</f>
        <v>120</v>
      </c>
      <c r="E12" s="25"/>
      <c r="F12" s="25">
        <v>45</v>
      </c>
      <c r="G12" s="25"/>
      <c r="H12" s="25">
        <f>(D12*F12)/1000</f>
        <v>5.4</v>
      </c>
      <c r="I12" s="26"/>
      <c r="J12" s="41"/>
      <c r="K12" s="48"/>
    </row>
    <row r="13" spans="1:13" s="1" customFormat="1" x14ac:dyDescent="0.25">
      <c r="A13" s="27" t="s">
        <v>13</v>
      </c>
      <c r="B13" s="28"/>
      <c r="C13" s="28"/>
      <c r="D13" s="53">
        <f>SUM(D9+D12)</f>
        <v>2526.7303700845</v>
      </c>
      <c r="E13" s="29" t="str">
        <f>IF($D$13&gt;2550,"Overschrijding maximum ramp mass!","Ramp mass OK")</f>
        <v>Ramp mass OK</v>
      </c>
      <c r="F13" s="28"/>
      <c r="G13" s="28"/>
      <c r="H13" s="28">
        <f>SUM(H9+H12)</f>
        <v>108.46395828271451</v>
      </c>
      <c r="I13" s="29" t="str">
        <f>IF(H13&lt;=J13,"Forward CG!",IF(H13&gt;=K13,"Aft CG!","CG OK"))</f>
        <v>CG OK</v>
      </c>
      <c r="J13" s="54">
        <f>(50.5+((D13-1500)/21.05))</f>
        <v>99.275789552707835</v>
      </c>
      <c r="K13" s="54">
        <f>SUM(J13+20.5)</f>
        <v>119.77578955270783</v>
      </c>
    </row>
    <row r="14" spans="1:13" s="4" customFormat="1" x14ac:dyDescent="0.25">
      <c r="A14" s="30"/>
      <c r="B14" s="24"/>
      <c r="C14" s="24"/>
      <c r="D14" s="24"/>
      <c r="E14" s="24"/>
      <c r="F14" s="24"/>
      <c r="G14" s="24"/>
      <c r="H14" s="24"/>
      <c r="I14" s="31"/>
      <c r="J14" s="43"/>
      <c r="K14" s="57"/>
    </row>
    <row r="15" spans="1:13" s="5" customFormat="1" x14ac:dyDescent="0.25">
      <c r="A15" s="21"/>
      <c r="B15" s="21" t="s">
        <v>21</v>
      </c>
      <c r="C15" s="21" t="s">
        <v>20</v>
      </c>
      <c r="D15" s="21" t="s">
        <v>27</v>
      </c>
      <c r="E15" s="21"/>
      <c r="F15" s="21" t="s">
        <v>26</v>
      </c>
      <c r="G15" s="21"/>
      <c r="H15" s="21" t="s">
        <v>25</v>
      </c>
      <c r="I15" s="22"/>
      <c r="J15" s="40"/>
      <c r="K15" s="56"/>
    </row>
    <row r="16" spans="1:13" x14ac:dyDescent="0.25">
      <c r="A16" s="23" t="s">
        <v>15</v>
      </c>
      <c r="B16" s="9">
        <v>1</v>
      </c>
      <c r="C16" s="39">
        <f>(B16*3.78541178)</f>
        <v>3.78541178</v>
      </c>
      <c r="D16" s="39">
        <f>(B16*6)</f>
        <v>6</v>
      </c>
      <c r="E16" s="25"/>
      <c r="F16" s="25">
        <v>50</v>
      </c>
      <c r="G16" s="25"/>
      <c r="H16" s="25">
        <v>0.6</v>
      </c>
      <c r="I16" s="26"/>
      <c r="J16" s="41"/>
      <c r="K16" s="48"/>
    </row>
    <row r="17" spans="1:11" s="1" customFormat="1" x14ac:dyDescent="0.25">
      <c r="A17" s="27" t="s">
        <v>16</v>
      </c>
      <c r="B17" s="28"/>
      <c r="C17" s="28"/>
      <c r="D17" s="53">
        <f>SUM(D13-D16)</f>
        <v>2520.7303700845</v>
      </c>
      <c r="E17" s="29" t="str">
        <f>IF($D$17&gt;2550,"Overschrijding maximum take-off mass!","Take-off mass OK")</f>
        <v>Take-off mass OK</v>
      </c>
      <c r="F17" s="28"/>
      <c r="G17" s="28"/>
      <c r="H17" s="28">
        <f>SUM(H13-H16)</f>
        <v>107.86395828271452</v>
      </c>
      <c r="I17" s="29" t="str">
        <f>IF(H17&lt;=J17,"Forward CG!",IF(H17&gt;=K17,"Aft CG!","CG OK"))</f>
        <v>CG OK</v>
      </c>
      <c r="J17" s="54">
        <f>(50.5+((D17-1500)/21.05))</f>
        <v>98.990753923254147</v>
      </c>
      <c r="K17" s="54">
        <f>SUM(J17+20.5)</f>
        <v>119.49075392325415</v>
      </c>
    </row>
    <row r="18" spans="1:11" s="4" customFormat="1" x14ac:dyDescent="0.25">
      <c r="A18" s="30"/>
      <c r="B18" s="24"/>
      <c r="C18" s="24"/>
      <c r="D18" s="24"/>
      <c r="E18" s="24"/>
      <c r="F18" s="24"/>
      <c r="G18" s="24"/>
      <c r="H18" s="24"/>
      <c r="I18" s="31"/>
      <c r="J18" s="43"/>
      <c r="K18" s="57"/>
    </row>
    <row r="19" spans="1:11" s="5" customFormat="1" x14ac:dyDescent="0.25">
      <c r="A19" s="21"/>
      <c r="B19" s="21"/>
      <c r="C19" s="21" t="s">
        <v>20</v>
      </c>
      <c r="D19" s="21" t="s">
        <v>27</v>
      </c>
      <c r="E19" s="21"/>
      <c r="F19" s="21" t="s">
        <v>26</v>
      </c>
      <c r="G19" s="21"/>
      <c r="H19" s="21" t="s">
        <v>25</v>
      </c>
      <c r="I19" s="22"/>
      <c r="J19" s="40"/>
      <c r="K19" s="56"/>
    </row>
    <row r="20" spans="1:11" x14ac:dyDescent="0.25">
      <c r="A20" s="23" t="s">
        <v>17</v>
      </c>
      <c r="B20" s="9">
        <v>6</v>
      </c>
      <c r="C20" s="39">
        <f>(B20*3.78541178)</f>
        <v>22.712470679999999</v>
      </c>
      <c r="D20" s="39">
        <f>(B20*6)</f>
        <v>36</v>
      </c>
      <c r="E20" s="25"/>
      <c r="F20" s="25">
        <v>50</v>
      </c>
      <c r="G20" s="25"/>
      <c r="H20" s="25">
        <f>(D20*F20)/1000</f>
        <v>1.8</v>
      </c>
      <c r="I20" s="26"/>
      <c r="J20" s="41"/>
      <c r="K20" s="48"/>
    </row>
    <row r="21" spans="1:11" s="1" customFormat="1" x14ac:dyDescent="0.25">
      <c r="A21" s="27" t="s">
        <v>18</v>
      </c>
      <c r="B21" s="28" t="s">
        <v>4</v>
      </c>
      <c r="C21" s="28"/>
      <c r="D21" s="53">
        <f>SUM(D17-D20)</f>
        <v>2484.7303700845</v>
      </c>
      <c r="E21" s="29" t="str">
        <f>IF($D$21&gt;2550,"Overschrijding maximum landing mass!","Landing mass OK")</f>
        <v>Landing mass OK</v>
      </c>
      <c r="F21" s="28"/>
      <c r="G21" s="28"/>
      <c r="H21" s="28">
        <f>SUM(H17-H20)</f>
        <v>106.06395828271452</v>
      </c>
      <c r="I21" s="29" t="str">
        <f>IF(H21&lt;=J21,"Forward CG!",IF(H21&gt;=K21,"Aft CG!","CG OK"))</f>
        <v>CG OK</v>
      </c>
      <c r="J21" s="54">
        <f>(50.5+((D21-1500)/21.05))</f>
        <v>97.280540146532076</v>
      </c>
      <c r="K21" s="54">
        <f>SUM(J21+20.5)</f>
        <v>117.78054014653208</v>
      </c>
    </row>
    <row r="22" spans="1:11" s="1" customFormat="1" x14ac:dyDescent="0.25">
      <c r="A22" s="27"/>
      <c r="B22" s="28"/>
      <c r="C22" s="28"/>
      <c r="D22" s="29"/>
      <c r="E22" s="29"/>
      <c r="F22" s="28"/>
      <c r="G22" s="28"/>
      <c r="H22" s="28"/>
      <c r="I22" s="29"/>
      <c r="J22" s="26"/>
      <c r="K22" s="26"/>
    </row>
    <row r="23" spans="1:11" s="1" customFormat="1" x14ac:dyDescent="0.25">
      <c r="A23" s="32"/>
      <c r="B23" s="33"/>
      <c r="C23" s="33"/>
      <c r="D23" s="29"/>
      <c r="E23" s="29"/>
      <c r="F23" s="34"/>
      <c r="G23" s="34" t="s">
        <v>5</v>
      </c>
      <c r="H23" s="34"/>
      <c r="I23" s="35"/>
      <c r="J23" s="36"/>
      <c r="K23" s="26"/>
    </row>
    <row r="24" spans="1:11" s="1" customFormat="1" x14ac:dyDescent="0.25">
      <c r="A24" s="32"/>
      <c r="B24" s="33"/>
      <c r="C24" s="33"/>
      <c r="D24" s="29"/>
      <c r="E24" s="29"/>
      <c r="F24" s="34"/>
      <c r="G24" s="34"/>
      <c r="H24" s="34"/>
      <c r="I24" s="35"/>
      <c r="J24" s="36"/>
      <c r="K24" s="26"/>
    </row>
    <row r="25" spans="1:11" s="1" customFormat="1" x14ac:dyDescent="0.25">
      <c r="A25" s="32"/>
      <c r="B25" s="33"/>
      <c r="C25" s="33"/>
      <c r="D25" s="29"/>
      <c r="E25" s="29"/>
      <c r="F25" s="34"/>
      <c r="G25" s="34" t="s">
        <v>6</v>
      </c>
      <c r="H25" s="34"/>
      <c r="I25" s="35"/>
      <c r="J25" s="36"/>
      <c r="K25" s="26"/>
    </row>
    <row r="26" spans="1:11" s="1" customFormat="1" x14ac:dyDescent="0.25">
      <c r="A26" s="32"/>
      <c r="B26" s="33"/>
      <c r="C26" s="33"/>
      <c r="D26" s="29"/>
      <c r="E26" s="29"/>
      <c r="F26" s="34"/>
      <c r="G26" s="34"/>
      <c r="H26" s="34"/>
      <c r="I26" s="35"/>
      <c r="J26" s="36"/>
      <c r="K26" s="26"/>
    </row>
    <row r="27" spans="1:11" s="1" customFormat="1" x14ac:dyDescent="0.25">
      <c r="A27" s="32"/>
      <c r="B27" s="33"/>
      <c r="C27" s="33"/>
      <c r="D27" s="29"/>
      <c r="E27" s="29"/>
      <c r="F27" s="34"/>
      <c r="G27" s="34"/>
      <c r="H27" s="34"/>
      <c r="I27" s="35"/>
      <c r="J27" s="36"/>
      <c r="K27" s="26"/>
    </row>
    <row r="28" spans="1:11" x14ac:dyDescent="0.25">
      <c r="A28" s="15"/>
      <c r="B28" s="37"/>
      <c r="C28" s="37"/>
      <c r="D28" s="37"/>
      <c r="E28" s="37"/>
      <c r="F28" s="37"/>
      <c r="G28" s="37"/>
      <c r="H28" s="37"/>
      <c r="I28" s="15"/>
      <c r="J28" s="15"/>
      <c r="K28" s="15"/>
    </row>
    <row r="29" spans="1:11" x14ac:dyDescent="0.25">
      <c r="A29" s="15"/>
      <c r="B29" s="37"/>
      <c r="C29" s="37"/>
      <c r="D29" s="37"/>
      <c r="E29" s="37"/>
      <c r="F29" s="37"/>
      <c r="G29" s="37"/>
      <c r="H29" s="37"/>
      <c r="I29" s="15"/>
      <c r="J29" s="15"/>
      <c r="K29" s="15"/>
    </row>
    <row r="30" spans="1:11" x14ac:dyDescent="0.25">
      <c r="A30" s="15"/>
      <c r="B30" s="37"/>
      <c r="C30" s="37"/>
      <c r="D30" s="37"/>
      <c r="E30" s="37"/>
      <c r="F30" s="37"/>
      <c r="G30" s="37"/>
      <c r="H30" s="37"/>
      <c r="I30" s="15"/>
      <c r="J30" s="15"/>
      <c r="K30" s="15"/>
    </row>
    <row r="31" spans="1:11" x14ac:dyDescent="0.25">
      <c r="A31" s="15"/>
      <c r="B31" s="37"/>
      <c r="C31" s="37"/>
      <c r="D31" s="37"/>
      <c r="E31" s="37"/>
      <c r="F31" s="37"/>
      <c r="G31" s="37"/>
      <c r="H31" s="37"/>
      <c r="I31" s="15"/>
      <c r="J31" s="15"/>
      <c r="K31" s="15"/>
    </row>
    <row r="32" spans="1:11" x14ac:dyDescent="0.25">
      <c r="A32" s="15"/>
      <c r="B32" s="37"/>
      <c r="C32" s="37"/>
      <c r="D32" s="37"/>
      <c r="E32" s="37"/>
      <c r="F32" s="37"/>
      <c r="G32" s="37"/>
      <c r="H32" s="37"/>
      <c r="I32" s="15"/>
      <c r="J32" s="15"/>
      <c r="K32" s="15"/>
    </row>
    <row r="33" spans="1:11" x14ac:dyDescent="0.25">
      <c r="A33" s="15"/>
      <c r="B33" s="37"/>
      <c r="C33" s="37"/>
      <c r="D33" s="37"/>
      <c r="E33" s="37"/>
      <c r="F33" s="37"/>
      <c r="G33" s="37"/>
      <c r="H33" s="37"/>
      <c r="I33" s="15"/>
      <c r="J33" s="15"/>
      <c r="K33" s="15"/>
    </row>
    <row r="34" spans="1:11" x14ac:dyDescent="0.25">
      <c r="A34" s="15"/>
      <c r="B34" s="37"/>
      <c r="C34" s="37"/>
      <c r="D34" s="37"/>
      <c r="E34" s="37"/>
      <c r="F34" s="37"/>
      <c r="G34" s="37"/>
      <c r="H34" s="37"/>
      <c r="I34" s="15"/>
      <c r="J34" s="15"/>
      <c r="K34" s="15"/>
    </row>
    <row r="35" spans="1:11" x14ac:dyDescent="0.25">
      <c r="A35" s="15"/>
      <c r="B35" s="37"/>
      <c r="C35" s="37"/>
      <c r="D35" s="37"/>
      <c r="E35" s="37"/>
      <c r="F35" s="37"/>
      <c r="G35" s="37"/>
      <c r="H35" s="37"/>
      <c r="I35" s="15"/>
      <c r="J35" s="15"/>
      <c r="K35" s="15"/>
    </row>
    <row r="36" spans="1:11" x14ac:dyDescent="0.25">
      <c r="A36" s="15"/>
      <c r="B36" s="37"/>
      <c r="C36" s="37"/>
      <c r="D36" s="37"/>
      <c r="E36" s="37"/>
      <c r="F36" s="37"/>
      <c r="G36" s="37"/>
      <c r="H36" s="37"/>
      <c r="I36" s="15"/>
      <c r="J36" s="15"/>
      <c r="K36" s="15"/>
    </row>
    <row r="37" spans="1:11" x14ac:dyDescent="0.25">
      <c r="A37" s="15"/>
      <c r="B37" s="37"/>
      <c r="C37" s="37"/>
      <c r="D37" s="37"/>
      <c r="E37" s="37"/>
      <c r="F37" s="37"/>
      <c r="G37" s="37"/>
      <c r="H37" s="37"/>
      <c r="I37" s="15"/>
      <c r="J37" s="15"/>
      <c r="K37" s="15"/>
    </row>
    <row r="38" spans="1:11" x14ac:dyDescent="0.25">
      <c r="A38" s="15"/>
      <c r="B38" s="37"/>
      <c r="C38" s="37"/>
      <c r="D38" s="37"/>
      <c r="E38" s="37"/>
      <c r="F38" s="37"/>
      <c r="G38" s="37"/>
      <c r="H38" s="37"/>
      <c r="I38" s="15"/>
      <c r="J38" s="15"/>
      <c r="K38" s="15"/>
    </row>
    <row r="39" spans="1:11" x14ac:dyDescent="0.25">
      <c r="A39" s="15"/>
      <c r="B39" s="37"/>
      <c r="C39" s="37"/>
      <c r="D39" s="37"/>
      <c r="E39" s="37"/>
      <c r="F39" s="37"/>
      <c r="G39" s="37"/>
      <c r="H39" s="37"/>
      <c r="I39" s="15"/>
      <c r="J39" s="15"/>
      <c r="K39" s="15"/>
    </row>
    <row r="40" spans="1:11" x14ac:dyDescent="0.25">
      <c r="A40" s="15"/>
      <c r="B40" s="37"/>
      <c r="C40" s="37"/>
      <c r="D40" s="37"/>
      <c r="E40" s="37"/>
      <c r="F40" s="37"/>
      <c r="G40" s="37"/>
      <c r="H40" s="37"/>
      <c r="I40" s="15"/>
      <c r="J40" s="15"/>
      <c r="K40" s="15"/>
    </row>
    <row r="41" spans="1:11" x14ac:dyDescent="0.25">
      <c r="A41" s="15"/>
      <c r="B41" s="37"/>
      <c r="C41" s="37"/>
      <c r="D41" s="37"/>
      <c r="E41" s="37"/>
      <c r="F41" s="37"/>
      <c r="G41" s="37"/>
      <c r="H41" s="37"/>
      <c r="I41" s="15"/>
      <c r="J41" s="15"/>
      <c r="K41" s="15"/>
    </row>
    <row r="42" spans="1:11" x14ac:dyDescent="0.25">
      <c r="A42" s="15"/>
      <c r="B42" s="37"/>
      <c r="C42" s="37"/>
      <c r="D42" s="37"/>
      <c r="E42" s="37"/>
      <c r="F42" s="37"/>
      <c r="G42" s="37"/>
      <c r="H42" s="37"/>
      <c r="I42" s="15"/>
      <c r="J42" s="15"/>
      <c r="K42" s="15"/>
    </row>
    <row r="43" spans="1:11" x14ac:dyDescent="0.25">
      <c r="A43" s="15"/>
      <c r="B43" s="37"/>
      <c r="C43" s="37"/>
      <c r="D43" s="37"/>
      <c r="E43" s="37"/>
      <c r="F43" s="37"/>
      <c r="G43" s="37"/>
      <c r="H43" s="37"/>
      <c r="I43" s="15"/>
      <c r="J43" s="15"/>
      <c r="K43" s="15"/>
    </row>
    <row r="44" spans="1:11" x14ac:dyDescent="0.25">
      <c r="A44" s="15"/>
      <c r="B44" s="37"/>
      <c r="C44" s="37"/>
      <c r="D44" s="37"/>
      <c r="E44" s="37"/>
      <c r="F44" s="37"/>
      <c r="G44" s="37"/>
      <c r="H44" s="37"/>
      <c r="I44" s="15"/>
      <c r="J44" s="15"/>
      <c r="K44" s="15"/>
    </row>
    <row r="45" spans="1:11" x14ac:dyDescent="0.25">
      <c r="A45" s="15"/>
      <c r="B45" s="37"/>
      <c r="C45" s="37"/>
      <c r="D45" s="37"/>
      <c r="E45" s="37"/>
      <c r="F45" s="37"/>
      <c r="G45" s="37"/>
      <c r="H45" s="37"/>
      <c r="I45" s="15"/>
      <c r="J45" s="15"/>
      <c r="K45" s="15"/>
    </row>
    <row r="46" spans="1:11" x14ac:dyDescent="0.25">
      <c r="A46" s="15"/>
      <c r="B46" s="37"/>
      <c r="C46" s="37"/>
      <c r="D46" s="37"/>
      <c r="E46" s="37"/>
      <c r="F46" s="37"/>
      <c r="G46" s="37"/>
      <c r="H46" s="37"/>
      <c r="I46" s="15"/>
      <c r="J46" s="15"/>
      <c r="K46" s="15"/>
    </row>
    <row r="47" spans="1:11" x14ac:dyDescent="0.25">
      <c r="A47" s="15"/>
      <c r="B47" s="37"/>
      <c r="C47" s="37"/>
      <c r="D47" s="37"/>
      <c r="E47" s="37"/>
      <c r="F47" s="37"/>
      <c r="G47" s="37"/>
      <c r="H47" s="37"/>
      <c r="I47" s="15"/>
      <c r="J47" s="15"/>
      <c r="K47" s="15"/>
    </row>
    <row r="48" spans="1:11" x14ac:dyDescent="0.25">
      <c r="A48" s="15"/>
      <c r="B48" s="37"/>
      <c r="C48" s="37"/>
      <c r="D48" s="37"/>
      <c r="E48" s="37"/>
      <c r="F48" s="37"/>
      <c r="G48" s="37"/>
      <c r="H48" s="37"/>
      <c r="I48" s="15"/>
      <c r="J48" s="15"/>
      <c r="K48" s="15"/>
    </row>
    <row r="49" spans="1:11" x14ac:dyDescent="0.25">
      <c r="A49" s="15"/>
      <c r="B49" s="37"/>
      <c r="C49" s="37"/>
      <c r="D49" s="37"/>
      <c r="E49" s="37"/>
      <c r="F49" s="37"/>
      <c r="G49" s="37"/>
      <c r="H49" s="37"/>
      <c r="I49" s="15"/>
      <c r="J49" s="15"/>
      <c r="K49" s="15"/>
    </row>
    <row r="50" spans="1:11" x14ac:dyDescent="0.25">
      <c r="A50" s="15"/>
      <c r="B50" s="37"/>
      <c r="C50" s="37"/>
      <c r="D50" s="37"/>
      <c r="E50" s="37"/>
      <c r="F50" s="37"/>
      <c r="G50" s="37"/>
      <c r="H50" s="37"/>
      <c r="I50" s="15"/>
      <c r="J50" s="15"/>
      <c r="K50" s="15"/>
    </row>
    <row r="51" spans="1:11" x14ac:dyDescent="0.25">
      <c r="A51" s="15"/>
      <c r="B51" s="37"/>
      <c r="C51" s="37"/>
      <c r="D51" s="37"/>
      <c r="E51" s="37"/>
      <c r="F51" s="37"/>
      <c r="G51" s="37"/>
      <c r="H51" s="37"/>
      <c r="I51" s="15"/>
      <c r="J51" s="15"/>
      <c r="K51" s="15"/>
    </row>
    <row r="52" spans="1:11" x14ac:dyDescent="0.25">
      <c r="A52" s="15"/>
      <c r="B52" s="37"/>
      <c r="C52" s="37"/>
      <c r="D52" s="37"/>
      <c r="E52" s="37"/>
      <c r="F52" s="37"/>
      <c r="G52" s="37"/>
      <c r="H52" s="37"/>
      <c r="I52" s="15"/>
      <c r="J52" s="15"/>
      <c r="K52" s="15"/>
    </row>
    <row r="53" spans="1:11" x14ac:dyDescent="0.25">
      <c r="A53" s="15"/>
      <c r="B53" s="37"/>
      <c r="C53" s="37"/>
      <c r="D53" s="37"/>
      <c r="E53" s="37"/>
      <c r="F53" s="37"/>
      <c r="G53" s="37"/>
      <c r="H53" s="37"/>
      <c r="I53" s="15"/>
      <c r="J53" s="15"/>
      <c r="K53" s="15"/>
    </row>
    <row r="54" spans="1:11" x14ac:dyDescent="0.25">
      <c r="A54" s="15"/>
      <c r="B54" s="37"/>
      <c r="C54" s="37"/>
      <c r="D54" s="37"/>
      <c r="E54" s="37"/>
      <c r="F54" s="37"/>
      <c r="G54" s="37"/>
      <c r="H54" s="37"/>
      <c r="I54" s="15"/>
      <c r="J54" s="15"/>
      <c r="K54" s="15"/>
    </row>
    <row r="55" spans="1:11" x14ac:dyDescent="0.25">
      <c r="A55" s="15"/>
      <c r="B55" s="37"/>
      <c r="C55" s="37"/>
      <c r="D55" s="37"/>
      <c r="E55" s="37"/>
      <c r="F55" s="37"/>
      <c r="G55" s="37"/>
      <c r="H55" s="37"/>
      <c r="I55" s="15"/>
      <c r="J55" s="15"/>
      <c r="K55" s="15"/>
    </row>
    <row r="56" spans="1:11" x14ac:dyDescent="0.25">
      <c r="A56" s="15"/>
      <c r="B56" s="37"/>
      <c r="C56" s="37"/>
      <c r="D56" s="37"/>
      <c r="E56" s="37"/>
      <c r="F56" s="37"/>
      <c r="G56" s="37"/>
      <c r="H56" s="37"/>
      <c r="I56" s="15"/>
      <c r="J56" s="15"/>
      <c r="K56" s="15"/>
    </row>
    <row r="57" spans="1:11" x14ac:dyDescent="0.25">
      <c r="A57" s="15"/>
      <c r="B57" s="37"/>
      <c r="C57" s="37"/>
      <c r="D57" s="37"/>
      <c r="E57" s="37"/>
      <c r="F57" s="37"/>
      <c r="G57" s="37"/>
      <c r="H57" s="37"/>
      <c r="I57" s="15"/>
      <c r="J57" s="15"/>
      <c r="K57" s="15"/>
    </row>
    <row r="58" spans="1:11" x14ac:dyDescent="0.25">
      <c r="A58" s="15"/>
      <c r="B58" s="37"/>
      <c r="C58" s="37"/>
      <c r="D58" s="37"/>
      <c r="E58" s="37"/>
      <c r="F58" s="37"/>
      <c r="G58" s="37"/>
      <c r="H58" s="37"/>
      <c r="I58" s="15"/>
      <c r="J58" s="15"/>
      <c r="K58" s="15"/>
    </row>
    <row r="59" spans="1:11" x14ac:dyDescent="0.25">
      <c r="A59" s="15"/>
      <c r="B59" s="37"/>
      <c r="C59" s="37"/>
      <c r="D59" s="37"/>
      <c r="E59" s="37"/>
      <c r="F59" s="37"/>
      <c r="G59" s="37"/>
      <c r="H59" s="37"/>
      <c r="I59" s="15"/>
      <c r="J59" s="15"/>
      <c r="K59" s="15"/>
    </row>
    <row r="60" spans="1:11" x14ac:dyDescent="0.25">
      <c r="A60" s="15"/>
      <c r="B60" s="37"/>
      <c r="C60" s="37"/>
      <c r="D60" s="37"/>
      <c r="E60" s="37"/>
      <c r="F60" s="37"/>
      <c r="G60" s="37"/>
      <c r="H60" s="37"/>
      <c r="I60" s="15"/>
      <c r="J60" s="15"/>
      <c r="K60" s="15"/>
    </row>
    <row r="61" spans="1:11" x14ac:dyDescent="0.25">
      <c r="A61" s="15"/>
      <c r="B61" s="37"/>
      <c r="C61" s="37"/>
      <c r="D61" s="37"/>
      <c r="E61" s="37"/>
      <c r="F61" s="37"/>
      <c r="G61" s="37"/>
      <c r="H61" s="37"/>
      <c r="I61" s="15"/>
      <c r="J61" s="15"/>
      <c r="K61" s="15"/>
    </row>
    <row r="62" spans="1:11" x14ac:dyDescent="0.25">
      <c r="A62" s="15"/>
      <c r="B62" s="37"/>
      <c r="C62" s="37"/>
      <c r="D62" s="37"/>
      <c r="E62" s="37"/>
      <c r="F62" s="37"/>
      <c r="G62" s="37"/>
      <c r="H62" s="37"/>
      <c r="I62" s="15"/>
      <c r="J62" s="15"/>
      <c r="K62" s="15"/>
    </row>
    <row r="63" spans="1:11" x14ac:dyDescent="0.25">
      <c r="A63" s="15"/>
      <c r="B63" s="37"/>
      <c r="C63" s="37"/>
      <c r="D63" s="37"/>
      <c r="E63" s="37"/>
      <c r="F63" s="37"/>
      <c r="G63" s="37"/>
      <c r="H63" s="37"/>
      <c r="I63" s="15"/>
      <c r="J63" s="15"/>
      <c r="K63" s="15"/>
    </row>
    <row r="64" spans="1:11" x14ac:dyDescent="0.25">
      <c r="A64" s="15"/>
      <c r="B64" s="37"/>
      <c r="C64" s="37"/>
      <c r="D64" s="37"/>
      <c r="E64" s="37"/>
      <c r="F64" s="37"/>
      <c r="G64" s="37"/>
      <c r="H64" s="37"/>
      <c r="I64" s="15"/>
      <c r="J64" s="15"/>
      <c r="K64" s="15"/>
    </row>
    <row r="65" spans="1:11" x14ac:dyDescent="0.25">
      <c r="A65" s="15"/>
      <c r="B65" s="37"/>
      <c r="C65" s="37"/>
      <c r="D65" s="37"/>
      <c r="E65" s="37"/>
      <c r="F65" s="37"/>
      <c r="G65" s="37"/>
      <c r="H65" s="37"/>
      <c r="I65" s="15"/>
      <c r="J65" s="15"/>
      <c r="K65" s="15"/>
    </row>
    <row r="66" spans="1:11" x14ac:dyDescent="0.25">
      <c r="A66" s="15"/>
      <c r="B66" s="37"/>
      <c r="C66" s="37"/>
      <c r="D66" s="37"/>
      <c r="E66" s="37"/>
      <c r="F66" s="37"/>
      <c r="G66" s="37"/>
      <c r="H66" s="37"/>
      <c r="I66" s="15"/>
      <c r="J66" s="15"/>
      <c r="K66" s="15"/>
    </row>
  </sheetData>
  <phoneticPr fontId="0" type="noConversion"/>
  <conditionalFormatting sqref="D13 D17 D21:D27">
    <cfRule type="cellIs" dxfId="8" priority="1" stopIfTrue="1" operator="greaterThanOrEqual">
      <formula>2550</formula>
    </cfRule>
    <cfRule type="cellIs" dxfId="7" priority="2" stopIfTrue="1" operator="between">
      <formula>2450</formula>
      <formula>2550</formula>
    </cfRule>
    <cfRule type="cellIs" dxfId="6" priority="3" stopIfTrue="1" operator="lessThanOrEqual">
      <formula>2450</formula>
    </cfRule>
  </conditionalFormatting>
  <conditionalFormatting sqref="H13">
    <cfRule type="cellIs" dxfId="5" priority="4" stopIfTrue="1" operator="notBetween">
      <formula>$J$13</formula>
      <formula>$K$13</formula>
    </cfRule>
    <cfRule type="cellIs" dxfId="4" priority="5" stopIfTrue="1" operator="between">
      <formula>$J$13</formula>
      <formula>$K$13</formula>
    </cfRule>
  </conditionalFormatting>
  <conditionalFormatting sqref="H17">
    <cfRule type="cellIs" dxfId="3" priority="6" stopIfTrue="1" operator="notBetween">
      <formula>$J$17</formula>
      <formula>$K$17</formula>
    </cfRule>
    <cfRule type="cellIs" dxfId="2" priority="7" stopIfTrue="1" operator="between">
      <formula>$J$17</formula>
      <formula>$K$17</formula>
    </cfRule>
  </conditionalFormatting>
  <conditionalFormatting sqref="H21:H27">
    <cfRule type="cellIs" dxfId="1" priority="8" stopIfTrue="1" operator="notBetween">
      <formula>$J$21</formula>
      <formula>$K$21</formula>
    </cfRule>
    <cfRule type="cellIs" dxfId="0" priority="9" stopIfTrue="1" operator="between">
      <formula>$J$21</formula>
      <formula>$K$21</formula>
    </cfRule>
  </conditionalFormatting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Vliegwerk 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Vliegwerk</dc:creator>
  <cp:lastModifiedBy>ronald</cp:lastModifiedBy>
  <cp:lastPrinted>2012-09-05T08:38:47Z</cp:lastPrinted>
  <dcterms:created xsi:type="dcterms:W3CDTF">2005-05-21T08:59:53Z</dcterms:created>
  <dcterms:modified xsi:type="dcterms:W3CDTF">2021-04-08T15:14:28Z</dcterms:modified>
</cp:coreProperties>
</file>