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dgmjansen\Dropbox\Zelf Vliegen\W&amp;B ontwikkeling\PH-ZVA\"/>
    </mc:Choice>
  </mc:AlternateContent>
  <bookViews>
    <workbookView xWindow="0" yWindow="-456" windowWidth="28800" windowHeight="18000"/>
  </bookViews>
  <sheets>
    <sheet name="VOORBLAD" sheetId="2" r:id="rId1"/>
    <sheet name="CALCULATORS" sheetId="4" state="hidden" r:id="rId2"/>
    <sheet name="LIMITATIONS" sheetId="3" state="hidden" r:id="rId3"/>
    <sheet name="CONTROLE, REVISIE" sheetId="5" state="hidden" r:id="rId4"/>
  </sheets>
  <definedNames>
    <definedName name="_xlnm.Print_Area" localSheetId="0">VOORBLAD!$A:$G</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14" i="4" l="1"/>
  <c r="B21" i="4"/>
  <c r="C44" i="4"/>
  <c r="E21" i="4"/>
  <c r="E48" i="4"/>
  <c r="D21" i="4"/>
  <c r="D5" i="4"/>
  <c r="D6" i="4"/>
  <c r="D4" i="4"/>
  <c r="D9" i="4"/>
  <c r="D10" i="4"/>
  <c r="D11" i="4"/>
  <c r="B14" i="4"/>
  <c r="E14" i="4"/>
  <c r="E15" i="4"/>
  <c r="D15" i="4"/>
  <c r="D16" i="4"/>
  <c r="D19" i="4"/>
  <c r="G5" i="4"/>
  <c r="I5" i="4"/>
  <c r="G6" i="4"/>
  <c r="I6" i="4"/>
  <c r="I4" i="4"/>
  <c r="G9" i="4"/>
  <c r="I9" i="4"/>
  <c r="G10" i="4"/>
  <c r="I10" i="4"/>
  <c r="I11" i="4"/>
  <c r="G14" i="4"/>
  <c r="I14" i="4"/>
  <c r="G15" i="4"/>
  <c r="I15" i="4"/>
  <c r="I16" i="4"/>
  <c r="I19" i="4"/>
  <c r="G21" i="4"/>
  <c r="I21" i="4"/>
  <c r="I22" i="4"/>
  <c r="D12" i="3"/>
  <c r="D11" i="3"/>
  <c r="D22" i="4"/>
  <c r="B20" i="2"/>
  <c r="E16" i="4"/>
  <c r="E11" i="4"/>
  <c r="E19" i="4"/>
  <c r="E22" i="4"/>
  <c r="B16" i="4"/>
  <c r="E15" i="2"/>
  <c r="J12" i="2"/>
  <c r="J14" i="2"/>
  <c r="B16" i="2"/>
  <c r="J8" i="2"/>
  <c r="A16" i="2"/>
  <c r="J16" i="2"/>
  <c r="J15" i="2"/>
  <c r="G19" i="4"/>
  <c r="A37" i="4"/>
  <c r="B37" i="4"/>
  <c r="G22" i="4"/>
  <c r="A36" i="4"/>
  <c r="B36" i="4"/>
  <c r="G11" i="4"/>
  <c r="A35" i="4"/>
  <c r="B35" i="4"/>
  <c r="C11" i="2"/>
  <c r="C10" i="2"/>
  <c r="C8" i="2"/>
  <c r="C7" i="2"/>
  <c r="C21" i="4"/>
  <c r="D25" i="4"/>
  <c r="D24" i="4"/>
  <c r="E24" i="4"/>
  <c r="G10" i="3"/>
  <c r="G11" i="3"/>
  <c r="G12" i="3"/>
  <c r="G13" i="3"/>
  <c r="G9" i="3"/>
  <c r="L19" i="4"/>
  <c r="L21" i="4"/>
  <c r="L22" i="4"/>
  <c r="E37" i="4"/>
  <c r="E36" i="4"/>
  <c r="E35" i="4"/>
  <c r="L4" i="4"/>
  <c r="L5" i="4"/>
  <c r="L6" i="4"/>
  <c r="L7" i="4"/>
  <c r="L8" i="4"/>
  <c r="L9" i="4"/>
  <c r="L10" i="4"/>
  <c r="L11" i="4"/>
  <c r="L14" i="4"/>
  <c r="L15" i="4"/>
  <c r="L16" i="4"/>
  <c r="G4" i="4"/>
  <c r="B12" i="2"/>
  <c r="G12" i="2"/>
  <c r="E25" i="4"/>
  <c r="E9" i="4"/>
  <c r="E5" i="4"/>
  <c r="E6" i="4"/>
  <c r="E10" i="4"/>
  <c r="N7" i="4"/>
  <c r="P5" i="4"/>
  <c r="P7" i="4"/>
  <c r="O7" i="4"/>
  <c r="E4" i="4"/>
  <c r="D12" i="2"/>
  <c r="C16" i="2"/>
  <c r="D3" i="2"/>
  <c r="G16" i="4"/>
  <c r="F35" i="4"/>
  <c r="F37" i="4"/>
  <c r="F36" i="4"/>
</calcChain>
</file>

<file path=xl/sharedStrings.xml><?xml version="1.0" encoding="utf-8"?>
<sst xmlns="http://schemas.openxmlformats.org/spreadsheetml/2006/main" count="187" uniqueCount="120">
  <si>
    <t>kg</t>
  </si>
  <si>
    <t>lbs</t>
  </si>
  <si>
    <t>inch</t>
  </si>
  <si>
    <t>CG limitation</t>
  </si>
  <si>
    <t>location</t>
  </si>
  <si>
    <t>load</t>
  </si>
  <si>
    <t>punt</t>
  </si>
  <si>
    <t>NORMAL</t>
  </si>
  <si>
    <t>gallon</t>
  </si>
  <si>
    <t>liter</t>
  </si>
  <si>
    <t>pound</t>
  </si>
  <si>
    <t xml:space="preserve">kg </t>
  </si>
  <si>
    <t>ARM</t>
  </si>
  <si>
    <t>MASS</t>
  </si>
  <si>
    <t>Zero fuel Mass</t>
  </si>
  <si>
    <t>MOMENT</t>
  </si>
  <si>
    <t>kg max</t>
  </si>
  <si>
    <t>Mass @ Take Off</t>
  </si>
  <si>
    <t>Basic empty weight **</t>
  </si>
  <si>
    <t>Liter</t>
  </si>
  <si>
    <t>Avaliable trip fuel @ Take Off</t>
  </si>
  <si>
    <t>moment</t>
  </si>
  <si>
    <t>inch.pound/1000</t>
  </si>
  <si>
    <t>1000 inch.lbs</t>
  </si>
  <si>
    <t>moment limitation</t>
  </si>
  <si>
    <t>W&amp;B verloop</t>
  </si>
  <si>
    <t>cm</t>
  </si>
  <si>
    <t>beveiliging</t>
  </si>
  <si>
    <t>reken eenheden</t>
  </si>
  <si>
    <t>juiste resultaat</t>
  </si>
  <si>
    <t>actuele genoemde weegbrief</t>
  </si>
  <si>
    <t>juiste weight</t>
  </si>
  <si>
    <t>juiste arm</t>
  </si>
  <si>
    <t>envelope punten correct</t>
  </si>
  <si>
    <t>juiste eenheden</t>
  </si>
  <si>
    <t>in grafiek</t>
  </si>
  <si>
    <t>in getal</t>
  </si>
  <si>
    <t xml:space="preserve">Check op: </t>
  </si>
  <si>
    <t>Builder</t>
  </si>
  <si>
    <t>Check date:</t>
  </si>
  <si>
    <t>D Jansen</t>
  </si>
  <si>
    <t>Control protocol</t>
  </si>
  <si>
    <t>PIC:</t>
  </si>
  <si>
    <t>today:</t>
  </si>
  <si>
    <t>lbs.inch</t>
  </si>
  <si>
    <t>Max TO Weight</t>
  </si>
  <si>
    <t>Max Baggage Weight</t>
  </si>
  <si>
    <t xml:space="preserve">pound </t>
  </si>
  <si>
    <t>Baggage weight together</t>
  </si>
  <si>
    <t>hr</t>
  </si>
  <si>
    <t>Max fuel</t>
  </si>
  <si>
    <t>W&amp;B, W&amp;M BEREKENINGEN</t>
  </si>
  <si>
    <t>GRAFIEK LIJNEN W&amp;B, W&amp;M</t>
  </si>
  <si>
    <t>CONVERSIONS</t>
  </si>
  <si>
    <t>limieten</t>
  </si>
  <si>
    <t>juiste baggage limieten</t>
  </si>
  <si>
    <t>juiste fuel maxima usable fuel</t>
  </si>
  <si>
    <t>juiste omreken (conversies) factoren</t>
  </si>
  <si>
    <t>juiste formules</t>
  </si>
  <si>
    <t>W&amp;B berekeningen</t>
  </si>
  <si>
    <t>juiste armen op alle variabele posities</t>
  </si>
  <si>
    <t>juiste max waardes</t>
  </si>
  <si>
    <t>juiste moment berekeningen</t>
  </si>
  <si>
    <t>juiste sommaties momenten &amp; gewichten</t>
  </si>
  <si>
    <t>juiste CG berekening</t>
  </si>
  <si>
    <t>cellen voorblad</t>
  </si>
  <si>
    <t>tabbladen</t>
  </si>
  <si>
    <t>Build date</t>
  </si>
  <si>
    <t>Approval:</t>
  </si>
  <si>
    <t>CMM</t>
  </si>
  <si>
    <t>R Driessen</t>
  </si>
  <si>
    <t>trip fuel</t>
  </si>
  <si>
    <t>landing mass</t>
  </si>
  <si>
    <t>available loading</t>
  </si>
  <si>
    <t>Max TO</t>
  </si>
  <si>
    <t>over/underload lbs</t>
  </si>
  <si>
    <t>max baggage weight station 2</t>
  </si>
  <si>
    <t>max baggage weight station 1</t>
  </si>
  <si>
    <t>ALTERNATE &amp;
RESERVE 
FUEL</t>
  </si>
  <si>
    <t>gewicht verloop - moment verloop</t>
  </si>
  <si>
    <t>overload</t>
  </si>
  <si>
    <t>TRIP FUEL</t>
  </si>
  <si>
    <t>arm consumable fuel</t>
  </si>
  <si>
    <t>Pilot</t>
  </si>
  <si>
    <t xml:space="preserve"> total endurance in hr if: </t>
  </si>
  <si>
    <t>Left front seat,  34"-46" * (37 mostly used )</t>
  </si>
  <si>
    <t>Right front seat,  34"-46" * (37 mostly used )</t>
  </si>
  <si>
    <r>
      <t xml:space="preserve">Fill in the fuel consumption you expect for </t>
    </r>
    <r>
      <rPr>
        <i/>
        <sz val="10"/>
        <color rgb="FFFF0000"/>
        <rFont val="Arial"/>
        <family val="2"/>
      </rPr>
      <t>indication</t>
    </r>
    <r>
      <rPr>
        <i/>
        <sz val="10"/>
        <color theme="3" tint="-0.499984740745262"/>
        <rFont val="Arial"/>
        <family val="2"/>
      </rPr>
      <t xml:space="preserve"> </t>
    </r>
    <r>
      <rPr>
        <sz val="10"/>
        <color theme="3" tint="-0.499984740745262"/>
        <rFont val="Arial"/>
        <family val="2"/>
      </rPr>
      <t>of the achievable endurance</t>
    </r>
  </si>
  <si>
    <t>Fill in the thin-green fields, and stay within the POH limits.
This document provides supportive guidelines for weight and balance calculations, make sure you use and follow the current POH issue.
This document is subject to change without notice!
You may use this spreadsheet on your own responsibility &amp; risk.</t>
  </si>
  <si>
    <t>Tester</t>
  </si>
  <si>
    <t>Based on POH chapter 6, Aero AT-3 R100</t>
  </si>
  <si>
    <t>Passenger</t>
  </si>
  <si>
    <t>Arm</t>
  </si>
  <si>
    <t>Seat &amp; Baggage positions in meters</t>
  </si>
  <si>
    <t>meter</t>
  </si>
  <si>
    <t>Starboard</t>
  </si>
  <si>
    <t>Port</t>
  </si>
  <si>
    <t>Baggage starboard</t>
  </si>
  <si>
    <t>Baggage port</t>
  </si>
  <si>
    <t>Baggage port and starboard compartment</t>
  </si>
  <si>
    <t>kg.m</t>
  </si>
  <si>
    <t>Baggage station starboard</t>
  </si>
  <si>
    <t>Baggage station port</t>
  </si>
  <si>
    <t>Fuel tanked (65L max)</t>
  </si>
  <si>
    <t>Taxi fuel (4L)</t>
  </si>
  <si>
    <t>Liter/hr</t>
  </si>
  <si>
    <t>20 kg max</t>
  </si>
  <si>
    <t>10 kg max</t>
  </si>
  <si>
    <t>together max 30 kg</t>
  </si>
  <si>
    <t>m</t>
  </si>
  <si>
    <t>together 30kg max</t>
  </si>
  <si>
    <t>moment kg*m</t>
  </si>
  <si>
    <t>Fuel tanked (max. 65 liter)</t>
  </si>
  <si>
    <t>.</t>
  </si>
  <si>
    <t>V</t>
  </si>
  <si>
    <t>Based on weighing report date: 13-6-2014 (Reg. HB-SFN)</t>
  </si>
  <si>
    <t>weegbrief 13-6-2014</t>
  </si>
  <si>
    <t>**Weighing report date: 13-6-2014</t>
  </si>
  <si>
    <t>Weight &amp; Balance calculation PH-ZVA       Version 17-2-2017, V1</t>
  </si>
  <si>
    <t>ENVELOPES PH-ZVA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</si>
</sst>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25">
    <font>
      <sz val="10"/>
      <name val="Arial"/>
    </font>
    <font>
      <b/>
      <sz val="10"/>
      <name val="Arial"/>
      <family val="2"/>
    </font>
    <font>
      <sz val="14"/>
      <name val="Arial"/>
    </font>
    <font>
      <sz val="16"/>
      <name val="Arial"/>
      <family val="2"/>
    </font>
    <font>
      <b/>
      <sz val="16"/>
      <name val="Arial"/>
    </font>
    <font>
      <sz val="20"/>
      <name val="Arial"/>
    </font>
    <font>
      <sz val="10"/>
      <color theme="3" tint="-0.499984740745262"/>
      <name val="Arial"/>
      <family val="2"/>
    </font>
    <font>
      <b/>
      <sz val="10"/>
      <color rgb="FFFFFF00"/>
      <name val="Arial"/>
    </font>
    <font>
      <b/>
      <sz val="16"/>
      <color rgb="FFFF0000"/>
      <name val="Arial"/>
    </font>
    <font>
      <sz val="16"/>
      <color rgb="FF3366FF"/>
      <name val="Arial"/>
    </font>
    <font>
      <sz val="16"/>
      <color theme="0"/>
      <name val="Arial"/>
    </font>
    <font>
      <sz val="12"/>
      <color theme="3" tint="-0.499984740745262"/>
      <name val="Arial"/>
      <family val="2"/>
    </font>
    <font>
      <b/>
      <i/>
      <sz val="12"/>
      <color rgb="FFFF0000"/>
      <name val="Arial"/>
      <family val="2"/>
    </font>
    <font>
      <b/>
      <i/>
      <sz val="20"/>
      <color theme="3" tint="-0.499984740745262"/>
      <name val="Arial"/>
      <family val="2"/>
    </font>
    <font>
      <sz val="20"/>
      <name val="Arial"/>
      <family val="2"/>
    </font>
    <font>
      <b/>
      <sz val="10"/>
      <color theme="3" tint="-0.499984740745262"/>
      <name val="Arial"/>
      <family val="2"/>
    </font>
    <font>
      <i/>
      <sz val="10"/>
      <color theme="3" tint="-0.499984740745262"/>
      <name val="Arial"/>
      <family val="2"/>
    </font>
    <font>
      <b/>
      <sz val="10"/>
      <color rgb="FFFF0000"/>
      <name val="Arial"/>
      <family val="2"/>
    </font>
    <font>
      <sz val="10"/>
      <color theme="0"/>
      <name val="Arial"/>
      <family val="2"/>
    </font>
    <font>
      <i/>
      <sz val="10"/>
      <color rgb="FFFF0000"/>
      <name val="Arial"/>
      <family val="2"/>
    </font>
    <font>
      <b/>
      <sz val="13"/>
      <color rgb="FFFF0000"/>
      <name val="Arial"/>
      <family val="2"/>
    </font>
    <font>
      <i/>
      <sz val="20"/>
      <color rgb="FF002060"/>
      <name val="Arial"/>
      <family val="2"/>
    </font>
    <font>
      <sz val="14"/>
      <name val="Arial"/>
      <family val="2"/>
    </font>
    <font>
      <sz val="14"/>
      <name val="Zapf Dingbats"/>
      <family val="2"/>
    </font>
    <font>
      <sz val="10"/>
      <name val="Arial"/>
      <family val="2"/>
    </font>
  </fonts>
  <fills count="11">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3366FF"/>
        <bgColor indexed="64"/>
      </patternFill>
    </fill>
    <fill>
      <patternFill patternType="solid">
        <fgColor theme="3" tint="0.79998168889431442"/>
        <bgColor indexed="64"/>
      </patternFill>
    </fill>
    <fill>
      <patternFill patternType="solid">
        <fgColor rgb="FF0BFF0B"/>
        <bgColor indexed="64"/>
      </patternFill>
    </fill>
    <fill>
      <patternFill patternType="solid">
        <fgColor rgb="FFFFFF00"/>
        <bgColor rgb="FF000000"/>
      </patternFill>
    </fill>
    <fill>
      <patternFill patternType="solid">
        <fgColor rgb="FF11FE1C"/>
        <bgColor indexed="64"/>
      </patternFill>
    </fill>
    <fill>
      <patternFill patternType="solid">
        <fgColor theme="3" tint="0.59999389629810485"/>
        <bgColor indexed="64"/>
      </patternFill>
    </fill>
    <fill>
      <patternFill patternType="solid">
        <fgColor theme="0"/>
        <bgColor rgb="FF000000"/>
      </patternFill>
    </fill>
  </fills>
  <borders count="56">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thin">
        <color auto="1"/>
      </right>
      <top/>
      <bottom/>
      <diagonal/>
    </border>
    <border>
      <left style="medium">
        <color auto="1"/>
      </left>
      <right style="medium">
        <color auto="1"/>
      </right>
      <top style="thin">
        <color auto="1"/>
      </top>
      <bottom/>
      <diagonal/>
    </border>
    <border>
      <left style="thin">
        <color auto="1"/>
      </left>
      <right/>
      <top style="thin">
        <color auto="1"/>
      </top>
      <bottom/>
      <diagonal/>
    </border>
    <border>
      <left style="medium">
        <color auto="1"/>
      </left>
      <right style="medium">
        <color auto="1"/>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right style="thin">
        <color auto="1"/>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indexed="64"/>
      </right>
      <top/>
      <bottom style="thin">
        <color auto="1"/>
      </bottom>
      <diagonal/>
    </border>
    <border>
      <left style="thin">
        <color auto="1"/>
      </left>
      <right style="medium">
        <color auto="1"/>
      </right>
      <top/>
      <bottom/>
      <diagonal/>
    </border>
    <border>
      <left/>
      <right/>
      <top style="medium">
        <color auto="1"/>
      </top>
      <bottom style="thin">
        <color auto="1"/>
      </bottom>
      <diagonal/>
    </border>
    <border>
      <left style="thin">
        <color indexed="64"/>
      </left>
      <right style="thin">
        <color indexed="64"/>
      </right>
      <top style="thin">
        <color indexed="64"/>
      </top>
      <bottom/>
      <diagonal/>
    </border>
  </borders>
  <cellStyleXfs count="1">
    <xf numFmtId="0" fontId="0" fillId="0" borderId="0"/>
  </cellStyleXfs>
  <cellXfs count="294">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applyAlignment="1">
      <alignment horizontal="center"/>
    </xf>
    <xf numFmtId="0" fontId="0" fillId="0" borderId="13" xfId="0" applyBorder="1"/>
    <xf numFmtId="0" fontId="0" fillId="0" borderId="14" xfId="0" applyBorder="1"/>
    <xf numFmtId="0" fontId="0" fillId="0" borderId="15" xfId="0" applyBorder="1"/>
    <xf numFmtId="0" fontId="0" fillId="0" borderId="17" xfId="0" applyBorder="1" applyAlignment="1">
      <alignment horizontal="center" vertical="center"/>
    </xf>
    <xf numFmtId="0" fontId="0" fillId="0" borderId="0" xfId="0" applyBorder="1" applyAlignment="1">
      <alignment horizontal="center" vertical="center"/>
    </xf>
    <xf numFmtId="2" fontId="0" fillId="0" borderId="1" xfId="0" applyNumberFormat="1" applyBorder="1"/>
    <xf numFmtId="2" fontId="0" fillId="0" borderId="3" xfId="0" applyNumberFormat="1" applyBorder="1"/>
    <xf numFmtId="0" fontId="0" fillId="0" borderId="13"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3" fillId="0" borderId="0" xfId="0" applyFont="1" applyBorder="1"/>
    <xf numFmtId="0" fontId="0" fillId="0" borderId="1" xfId="0" applyBorder="1" applyAlignment="1">
      <alignment horizontal="left" vertical="center"/>
    </xf>
    <xf numFmtId="0" fontId="1" fillId="0" borderId="1" xfId="0" applyFont="1" applyBorder="1" applyAlignment="1">
      <alignment horizontal="left" vertical="center"/>
    </xf>
    <xf numFmtId="0" fontId="0" fillId="0" borderId="18" xfId="0" applyBorder="1" applyAlignment="1">
      <alignment horizontal="center"/>
    </xf>
    <xf numFmtId="2" fontId="0" fillId="0" borderId="0" xfId="0" applyNumberFormat="1" applyBorder="1" applyAlignment="1">
      <alignment horizontal="center" vertical="center"/>
    </xf>
    <xf numFmtId="0" fontId="6" fillId="2" borderId="0" xfId="0" applyFont="1" applyFill="1" applyBorder="1" applyAlignment="1">
      <alignment horizontal="left"/>
    </xf>
    <xf numFmtId="0" fontId="0" fillId="2" borderId="0" xfId="0" applyFill="1" applyBorder="1"/>
    <xf numFmtId="2" fontId="0" fillId="0" borderId="0" xfId="0" applyNumberFormat="1" applyFill="1" applyBorder="1" applyAlignment="1">
      <alignment horizontal="center" vertical="center"/>
    </xf>
    <xf numFmtId="0" fontId="1" fillId="0" borderId="3" xfId="0" applyFont="1" applyBorder="1" applyAlignment="1">
      <alignment horizontal="left" vertical="center"/>
    </xf>
    <xf numFmtId="2" fontId="0" fillId="0" borderId="4" xfId="0" applyNumberFormat="1" applyBorder="1" applyAlignment="1">
      <alignment horizontal="center" vertical="center"/>
    </xf>
    <xf numFmtId="2" fontId="7" fillId="0" borderId="4" xfId="0" applyNumberFormat="1" applyFont="1" applyFill="1" applyBorder="1" applyAlignment="1">
      <alignment horizontal="center" vertical="center"/>
    </xf>
    <xf numFmtId="2" fontId="0" fillId="0" borderId="27" xfId="0" applyNumberFormat="1" applyBorder="1" applyAlignment="1">
      <alignment horizontal="center" vertical="center"/>
    </xf>
    <xf numFmtId="2" fontId="0" fillId="0" borderId="18" xfId="0" applyNumberFormat="1" applyBorder="1" applyAlignment="1">
      <alignment horizontal="center" vertical="center"/>
    </xf>
    <xf numFmtId="0" fontId="0" fillId="0" borderId="6" xfId="0" applyBorder="1" applyAlignment="1">
      <alignment horizontal="center" vertical="center"/>
    </xf>
    <xf numFmtId="0" fontId="0" fillId="0" borderId="27"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left" vertical="center"/>
    </xf>
    <xf numFmtId="0" fontId="1" fillId="0" borderId="0" xfId="0" applyFont="1" applyBorder="1" applyAlignment="1">
      <alignment horizontal="left" vertical="center"/>
    </xf>
    <xf numFmtId="0" fontId="0" fillId="0" borderId="0" xfId="0" applyAlignment="1">
      <alignment horizontal="left" vertical="center"/>
    </xf>
    <xf numFmtId="0" fontId="9" fillId="0" borderId="13" xfId="0" applyFont="1" applyBorder="1"/>
    <xf numFmtId="0" fontId="2" fillId="0" borderId="13" xfId="0" applyFont="1" applyBorder="1" applyAlignment="1">
      <alignment horizontal="center" vertical="center"/>
    </xf>
    <xf numFmtId="165" fontId="2" fillId="0" borderId="14" xfId="0" applyNumberFormat="1" applyFont="1" applyBorder="1" applyAlignment="1">
      <alignment horizontal="center" vertical="center"/>
    </xf>
    <xf numFmtId="0" fontId="2" fillId="0" borderId="15" xfId="0" applyFont="1" applyBorder="1" applyAlignment="1">
      <alignment horizontal="center" vertical="center"/>
    </xf>
    <xf numFmtId="0" fontId="0" fillId="0" borderId="2" xfId="0" applyBorder="1" applyAlignment="1">
      <alignment horizontal="center" vertical="center"/>
    </xf>
    <xf numFmtId="2" fontId="0" fillId="0" borderId="27" xfId="0" applyNumberFormat="1" applyFill="1" applyBorder="1" applyAlignment="1">
      <alignment horizontal="center" vertical="center"/>
    </xf>
    <xf numFmtId="0" fontId="0" fillId="3" borderId="1" xfId="0" applyFill="1" applyBorder="1" applyAlignment="1">
      <alignment horizontal="center" vertical="center"/>
    </xf>
    <xf numFmtId="0" fontId="0" fillId="3" borderId="0" xfId="0" applyFill="1" applyBorder="1" applyAlignment="1">
      <alignment horizontal="center" vertical="center"/>
    </xf>
    <xf numFmtId="0" fontId="0" fillId="0" borderId="0" xfId="0" applyFill="1" applyBorder="1"/>
    <xf numFmtId="0" fontId="0" fillId="0" borderId="0" xfId="0" applyFill="1" applyBorder="1" applyAlignment="1">
      <alignment horizontal="center" vertical="center"/>
    </xf>
    <xf numFmtId="0" fontId="0" fillId="3" borderId="17" xfId="0" applyFill="1" applyBorder="1" applyAlignment="1">
      <alignment horizontal="center" vertical="center"/>
    </xf>
    <xf numFmtId="2" fontId="7" fillId="0" borderId="0" xfId="0" applyNumberFormat="1" applyFont="1" applyFill="1"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xf>
    <xf numFmtId="0" fontId="0" fillId="0" borderId="6" xfId="0" applyBorder="1" applyAlignment="1">
      <alignment horizontal="center" wrapText="1"/>
    </xf>
    <xf numFmtId="2" fontId="0" fillId="0" borderId="1" xfId="0" applyNumberFormat="1" applyBorder="1" applyAlignment="1">
      <alignment horizontal="center"/>
    </xf>
    <xf numFmtId="2" fontId="0" fillId="0" borderId="3" xfId="0" applyNumberFormat="1" applyBorder="1" applyAlignment="1">
      <alignment horizontal="center"/>
    </xf>
    <xf numFmtId="2" fontId="0" fillId="0" borderId="27" xfId="0" applyNumberFormat="1" applyBorder="1" applyAlignment="1">
      <alignment horizontal="center"/>
    </xf>
    <xf numFmtId="2" fontId="0" fillId="0" borderId="19" xfId="0" applyNumberFormat="1" applyBorder="1" applyAlignment="1">
      <alignment horizontal="center"/>
    </xf>
    <xf numFmtId="2" fontId="0" fillId="0" borderId="27" xfId="0" applyNumberFormat="1" applyBorder="1"/>
    <xf numFmtId="2" fontId="0" fillId="0" borderId="19" xfId="0" applyNumberFormat="1" applyBorder="1"/>
    <xf numFmtId="2" fontId="0" fillId="0" borderId="13" xfId="0" applyNumberFormat="1" applyBorder="1"/>
    <xf numFmtId="2" fontId="0" fillId="0" borderId="18" xfId="0" applyNumberFormat="1" applyBorder="1"/>
    <xf numFmtId="2" fontId="0" fillId="0" borderId="0" xfId="0" applyNumberFormat="1" applyBorder="1" applyAlignment="1">
      <alignment horizontal="center"/>
    </xf>
    <xf numFmtId="0" fontId="0" fillId="0" borderId="28" xfId="0" applyBorder="1"/>
    <xf numFmtId="0" fontId="0" fillId="0" borderId="28" xfId="0" applyBorder="1" applyAlignment="1">
      <alignment horizontal="center" vertical="center"/>
    </xf>
    <xf numFmtId="0" fontId="3" fillId="0" borderId="1" xfId="0" applyFont="1" applyBorder="1" applyAlignment="1">
      <alignment horizontal="center" vertical="center"/>
    </xf>
    <xf numFmtId="0" fontId="3" fillId="0" borderId="2" xfId="0" applyFont="1" applyBorder="1"/>
    <xf numFmtId="0" fontId="3" fillId="0" borderId="0" xfId="0" applyFont="1" applyFill="1" applyBorder="1"/>
    <xf numFmtId="0" fontId="3" fillId="4" borderId="6" xfId="0" applyFont="1" applyFill="1" applyBorder="1" applyAlignment="1">
      <alignment horizontal="right" vertical="center"/>
    </xf>
    <xf numFmtId="0" fontId="8" fillId="4" borderId="28" xfId="0" applyFont="1" applyFill="1" applyBorder="1" applyAlignment="1">
      <alignment horizontal="right" vertical="center"/>
    </xf>
    <xf numFmtId="0" fontId="3" fillId="4" borderId="28" xfId="0" applyFont="1" applyFill="1" applyBorder="1" applyAlignment="1">
      <alignment vertical="center"/>
    </xf>
    <xf numFmtId="0" fontId="3" fillId="4" borderId="28" xfId="0" applyFont="1" applyFill="1" applyBorder="1"/>
    <xf numFmtId="1" fontId="3" fillId="4" borderId="6" xfId="0" applyNumberFormat="1" applyFont="1" applyFill="1" applyBorder="1" applyAlignment="1">
      <alignment horizontal="right" vertical="center"/>
    </xf>
    <xf numFmtId="0" fontId="3" fillId="0" borderId="3" xfId="0" applyFont="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xf numFmtId="1" fontId="3" fillId="4" borderId="17" xfId="0" applyNumberFormat="1" applyFont="1" applyFill="1" applyBorder="1" applyAlignment="1">
      <alignment horizontal="center" vertical="center"/>
    </xf>
    <xf numFmtId="2" fontId="10" fillId="4" borderId="18" xfId="0" applyNumberFormat="1" applyFont="1" applyFill="1" applyBorder="1" applyAlignment="1">
      <alignment horizontal="center" vertical="center"/>
    </xf>
    <xf numFmtId="2" fontId="0" fillId="0" borderId="0" xfId="0" applyNumberFormat="1" applyBorder="1"/>
    <xf numFmtId="0" fontId="0" fillId="0" borderId="0" xfId="0" quotePrefix="1" applyBorder="1"/>
    <xf numFmtId="2" fontId="6" fillId="0" borderId="0" xfId="0" applyNumberFormat="1" applyFont="1" applyFill="1" applyBorder="1" applyAlignment="1">
      <alignment horizontal="center" vertical="center"/>
    </xf>
    <xf numFmtId="0" fontId="9" fillId="0" borderId="1" xfId="0" applyFont="1" applyBorder="1"/>
    <xf numFmtId="0" fontId="1" fillId="0" borderId="28" xfId="0" applyFont="1" applyBorder="1" applyAlignment="1">
      <alignment horizontal="left" vertical="center"/>
    </xf>
    <xf numFmtId="0" fontId="0" fillId="0" borderId="28" xfId="0" applyFill="1" applyBorder="1" applyAlignment="1">
      <alignment horizontal="center" vertical="center"/>
    </xf>
    <xf numFmtId="2" fontId="0" fillId="0" borderId="28" xfId="0" applyNumberFormat="1" applyFill="1" applyBorder="1" applyAlignment="1">
      <alignment horizontal="center" vertical="center"/>
    </xf>
    <xf numFmtId="2" fontId="0" fillId="0" borderId="28" xfId="0" applyNumberFormat="1" applyBorder="1" applyAlignment="1">
      <alignment horizontal="center" vertical="center"/>
    </xf>
    <xf numFmtId="2" fontId="0" fillId="0" borderId="13" xfId="0" applyNumberFormat="1" applyBorder="1" applyAlignment="1">
      <alignment horizontal="center"/>
    </xf>
    <xf numFmtId="2" fontId="0" fillId="0" borderId="18" xfId="0" applyNumberFormat="1" applyBorder="1" applyAlignment="1">
      <alignment horizontal="center"/>
    </xf>
    <xf numFmtId="2" fontId="7" fillId="9" borderId="17" xfId="0" applyNumberFormat="1" applyFont="1" applyFill="1" applyBorder="1" applyAlignment="1">
      <alignment horizontal="center" vertical="center"/>
    </xf>
    <xf numFmtId="0" fontId="0" fillId="0" borderId="13" xfId="0" applyBorder="1" applyAlignment="1">
      <alignment horizontal="left" vertical="center"/>
    </xf>
    <xf numFmtId="0" fontId="3" fillId="0" borderId="0" xfId="0" applyFont="1" applyBorder="1" applyAlignment="1">
      <alignment horizontal="lef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left" vertical="center"/>
    </xf>
    <xf numFmtId="0" fontId="3" fillId="0" borderId="34" xfId="0" applyFont="1" applyBorder="1" applyAlignment="1">
      <alignment horizontal="left" vertical="center"/>
    </xf>
    <xf numFmtId="0" fontId="3" fillId="0" borderId="6" xfId="0" applyFont="1" applyBorder="1"/>
    <xf numFmtId="0" fontId="3" fillId="0" borderId="16" xfId="0" applyFont="1" applyBorder="1"/>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28" xfId="0" applyFont="1" applyBorder="1"/>
    <xf numFmtId="0" fontId="3" fillId="4" borderId="4" xfId="0" applyFont="1" applyFill="1" applyBorder="1"/>
    <xf numFmtId="1" fontId="3" fillId="4" borderId="16" xfId="0" applyNumberFormat="1" applyFont="1" applyFill="1" applyBorder="1" applyAlignment="1">
      <alignment horizontal="center" vertical="center"/>
    </xf>
    <xf numFmtId="0" fontId="11" fillId="4" borderId="6" xfId="0" applyFont="1" applyFill="1" applyBorder="1" applyAlignment="1">
      <alignment horizontal="left" vertical="center"/>
    </xf>
    <xf numFmtId="0" fontId="4" fillId="0" borderId="0" xfId="0" applyFont="1" applyBorder="1" applyAlignment="1">
      <alignment horizontal="left" vertical="center"/>
    </xf>
    <xf numFmtId="0" fontId="14" fillId="5" borderId="28" xfId="0" applyFont="1" applyFill="1" applyBorder="1" applyAlignment="1">
      <alignment horizontal="center"/>
    </xf>
    <xf numFmtId="0" fontId="13" fillId="5" borderId="6" xfId="0" applyFont="1" applyFill="1" applyBorder="1" applyAlignment="1">
      <alignment vertical="center" wrapText="1"/>
    </xf>
    <xf numFmtId="0" fontId="14" fillId="5" borderId="28" xfId="0" applyFont="1" applyFill="1" applyBorder="1" applyAlignment="1"/>
    <xf numFmtId="0" fontId="6" fillId="0" borderId="28" xfId="0" applyFont="1" applyBorder="1" applyAlignment="1">
      <alignment horizontal="center"/>
    </xf>
    <xf numFmtId="0" fontId="6" fillId="0" borderId="0" xfId="0" applyFont="1"/>
    <xf numFmtId="0" fontId="6" fillId="0" borderId="1" xfId="0" applyFont="1" applyBorder="1" applyAlignment="1">
      <alignment horizontal="center" vertical="center"/>
    </xf>
    <xf numFmtId="0" fontId="15" fillId="0" borderId="16"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vertical="center"/>
    </xf>
    <xf numFmtId="0" fontId="6" fillId="0" borderId="28" xfId="0" applyFont="1" applyBorder="1" applyAlignment="1"/>
    <xf numFmtId="0" fontId="15" fillId="0" borderId="46" xfId="0" applyFont="1" applyBorder="1" applyAlignment="1">
      <alignment horizontal="center" vertical="center"/>
    </xf>
    <xf numFmtId="0" fontId="6" fillId="0" borderId="0" xfId="0" applyFont="1" applyBorder="1"/>
    <xf numFmtId="0" fontId="6" fillId="0" borderId="39" xfId="0" applyFont="1" applyBorder="1" applyAlignment="1">
      <alignment horizontal="left" vertical="center"/>
    </xf>
    <xf numFmtId="1" fontId="6" fillId="3" borderId="33" xfId="0" applyNumberFormat="1" applyFont="1" applyFill="1" applyBorder="1" applyAlignment="1" applyProtection="1">
      <alignment horizontal="center" vertical="center"/>
      <protection locked="0"/>
    </xf>
    <xf numFmtId="0" fontId="6" fillId="0" borderId="41" xfId="0" applyFont="1" applyBorder="1" applyAlignment="1">
      <alignment horizontal="left" vertical="center" wrapText="1"/>
    </xf>
    <xf numFmtId="1" fontId="6" fillId="3" borderId="46" xfId="0" applyNumberFormat="1" applyFont="1" applyFill="1" applyBorder="1" applyAlignment="1" applyProtection="1">
      <alignment horizontal="center" vertical="center"/>
      <protection locked="0"/>
    </xf>
    <xf numFmtId="0" fontId="6" fillId="0" borderId="40" xfId="0" applyFont="1" applyBorder="1" applyAlignment="1">
      <alignment horizontal="right" vertical="center"/>
    </xf>
    <xf numFmtId="1" fontId="6" fillId="0" borderId="25" xfId="0" applyNumberFormat="1" applyFont="1" applyFill="1" applyBorder="1" applyAlignment="1">
      <alignment horizontal="center" vertical="center"/>
    </xf>
    <xf numFmtId="0" fontId="6" fillId="0" borderId="41" xfId="0" applyFont="1" applyBorder="1" applyAlignment="1">
      <alignment horizontal="center" vertical="center"/>
    </xf>
    <xf numFmtId="0" fontId="6" fillId="0" borderId="46" xfId="0" applyFont="1" applyBorder="1" applyAlignment="1">
      <alignment horizontal="center" vertical="center"/>
    </xf>
    <xf numFmtId="0" fontId="6" fillId="0" borderId="43" xfId="0" applyFont="1" applyBorder="1" applyAlignment="1">
      <alignment horizontal="center" vertical="center"/>
    </xf>
    <xf numFmtId="0" fontId="6" fillId="3" borderId="42" xfId="0" applyFont="1" applyFill="1" applyBorder="1" applyAlignment="1" applyProtection="1">
      <alignment horizontal="center" vertical="center"/>
      <protection locked="0"/>
    </xf>
    <xf numFmtId="0" fontId="6" fillId="3" borderId="36" xfId="0" applyNumberFormat="1" applyFont="1" applyFill="1" applyBorder="1" applyAlignment="1" applyProtection="1">
      <alignment horizontal="center" vertical="center"/>
      <protection locked="0"/>
    </xf>
    <xf numFmtId="1" fontId="6" fillId="0" borderId="45" xfId="0" applyNumberFormat="1" applyFont="1" applyBorder="1" applyAlignment="1">
      <alignment horizontal="center" vertical="center"/>
    </xf>
    <xf numFmtId="1" fontId="6" fillId="0" borderId="1" xfId="0" applyNumberFormat="1" applyFont="1" applyBorder="1" applyAlignment="1">
      <alignment horizontal="right" vertical="center"/>
    </xf>
    <xf numFmtId="1" fontId="6" fillId="0" borderId="17" xfId="0" applyNumberFormat="1" applyFont="1" applyFill="1" applyBorder="1" applyAlignment="1">
      <alignment horizontal="center" vertical="center"/>
    </xf>
    <xf numFmtId="0" fontId="6" fillId="0" borderId="28" xfId="0" applyFont="1" applyBorder="1" applyAlignment="1">
      <alignment horizontal="center" vertical="center"/>
    </xf>
    <xf numFmtId="1" fontId="6" fillId="0" borderId="1" xfId="0" applyNumberFormat="1" applyFont="1" applyFill="1" applyBorder="1" applyAlignment="1">
      <alignment horizontal="right" vertical="center"/>
    </xf>
    <xf numFmtId="2" fontId="6" fillId="0" borderId="32" xfId="0" applyNumberFormat="1" applyFont="1" applyFill="1" applyBorder="1" applyAlignment="1">
      <alignment horizontal="center" vertical="center"/>
    </xf>
    <xf numFmtId="0" fontId="6" fillId="0" borderId="1" xfId="0" applyFont="1" applyFill="1" applyBorder="1" applyAlignment="1">
      <alignment horizontal="right" vertical="center"/>
    </xf>
    <xf numFmtId="0" fontId="6" fillId="3" borderId="25"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17" fillId="0" borderId="42" xfId="0" applyFont="1" applyFill="1" applyBorder="1" applyAlignment="1">
      <alignment horizontal="left" vertical="center"/>
    </xf>
    <xf numFmtId="0" fontId="17" fillId="0" borderId="29" xfId="0" applyFont="1" applyFill="1" applyBorder="1" applyAlignment="1">
      <alignment horizontal="left" vertical="center"/>
    </xf>
    <xf numFmtId="0" fontId="14" fillId="5" borderId="16" xfId="0" applyFont="1" applyFill="1" applyBorder="1" applyAlignment="1">
      <alignment horizontal="center"/>
    </xf>
    <xf numFmtId="0" fontId="6" fillId="0" borderId="16" xfId="0" applyFont="1" applyBorder="1" applyAlignment="1">
      <alignment horizontal="center"/>
    </xf>
    <xf numFmtId="0" fontId="6" fillId="0" borderId="16" xfId="0" applyFont="1" applyBorder="1" applyAlignment="1"/>
    <xf numFmtId="0" fontId="6" fillId="0" borderId="2" xfId="0" applyFont="1" applyBorder="1"/>
    <xf numFmtId="1" fontId="18" fillId="0" borderId="2" xfId="0" applyNumberFormat="1" applyFont="1" applyFill="1" applyBorder="1" applyAlignment="1">
      <alignment horizontal="center" vertical="center"/>
    </xf>
    <xf numFmtId="1" fontId="10" fillId="4" borderId="16" xfId="0" applyNumberFormat="1" applyFont="1" applyFill="1" applyBorder="1" applyAlignment="1">
      <alignment horizontal="center" vertical="center"/>
    </xf>
    <xf numFmtId="0" fontId="6" fillId="5" borderId="52" xfId="0" applyFont="1" applyFill="1" applyBorder="1" applyAlignment="1">
      <alignment vertical="center"/>
    </xf>
    <xf numFmtId="0" fontId="3" fillId="4" borderId="5" xfId="0" applyFont="1" applyFill="1" applyBorder="1"/>
    <xf numFmtId="0" fontId="6" fillId="0" borderId="2" xfId="0" applyFont="1" applyFill="1" applyBorder="1" applyAlignment="1">
      <alignment horizontal="left" vertical="center"/>
    </xf>
    <xf numFmtId="0" fontId="6" fillId="0" borderId="3" xfId="0" applyFont="1" applyFill="1" applyBorder="1" applyAlignment="1">
      <alignment horizontal="righ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0" xfId="0" applyFont="1" applyFill="1"/>
    <xf numFmtId="0" fontId="18" fillId="0" borderId="0" xfId="0" applyFont="1" applyFill="1"/>
    <xf numFmtId="0" fontId="6" fillId="0" borderId="28" xfId="0" applyFont="1" applyBorder="1" applyAlignment="1">
      <alignment horizontal="left" vertical="center"/>
    </xf>
    <xf numFmtId="0" fontId="14" fillId="5" borderId="14" xfId="0" applyFont="1" applyFill="1" applyBorder="1" applyAlignment="1">
      <alignment horizontal="center"/>
    </xf>
    <xf numFmtId="0" fontId="6" fillId="0" borderId="6" xfId="0" applyFont="1" applyBorder="1" applyAlignment="1">
      <alignment horizontal="right" vertical="center"/>
    </xf>
    <xf numFmtId="15" fontId="6" fillId="0" borderId="16" xfId="0" applyNumberFormat="1" applyFont="1" applyBorder="1" applyAlignment="1">
      <alignment horizontal="center" vertical="center"/>
    </xf>
    <xf numFmtId="0" fontId="6" fillId="0" borderId="28" xfId="0" applyFont="1" applyBorder="1"/>
    <xf numFmtId="0" fontId="21" fillId="5" borderId="13" xfId="0" applyFont="1" applyFill="1" applyBorder="1" applyAlignment="1"/>
    <xf numFmtId="1" fontId="3" fillId="4" borderId="17" xfId="0" applyNumberFormat="1" applyFont="1" applyFill="1" applyBorder="1" applyAlignment="1" applyProtection="1">
      <alignment horizontal="center" vertical="center"/>
    </xf>
    <xf numFmtId="1" fontId="6" fillId="0" borderId="6" xfId="0" applyNumberFormat="1" applyFont="1" applyFill="1" applyBorder="1" applyAlignment="1">
      <alignment horizontal="center" vertical="center"/>
    </xf>
    <xf numFmtId="0" fontId="22" fillId="0" borderId="0" xfId="0" applyFont="1" applyAlignment="1">
      <alignment vertical="center"/>
    </xf>
    <xf numFmtId="0" fontId="22" fillId="0" borderId="6" xfId="0" applyFont="1" applyBorder="1" applyAlignment="1">
      <alignment horizontal="left" vertical="center"/>
    </xf>
    <xf numFmtId="0" fontId="22" fillId="0" borderId="28" xfId="0" applyFont="1" applyBorder="1" applyAlignment="1">
      <alignment horizontal="left" vertical="center"/>
    </xf>
    <xf numFmtId="0" fontId="22" fillId="0" borderId="17" xfId="0" applyFont="1" applyBorder="1" applyAlignment="1">
      <alignment horizontal="center" vertical="center"/>
    </xf>
    <xf numFmtId="0" fontId="22" fillId="0" borderId="16" xfId="0" applyFont="1" applyBorder="1" applyAlignment="1">
      <alignment horizontal="center" vertical="center"/>
    </xf>
    <xf numFmtId="0" fontId="22" fillId="0" borderId="0" xfId="0" applyFont="1" applyAlignment="1">
      <alignment horizontal="left" vertical="center"/>
    </xf>
    <xf numFmtId="0" fontId="22" fillId="0" borderId="24"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Border="1" applyAlignment="1">
      <alignment horizontal="left" vertical="center"/>
    </xf>
    <xf numFmtId="0" fontId="23" fillId="0" borderId="32" xfId="0" applyFont="1" applyBorder="1" applyAlignment="1">
      <alignment horizontal="center"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3" fillId="0" borderId="33" xfId="0" applyFont="1" applyBorder="1" applyAlignment="1">
      <alignment horizontal="center" vertical="center"/>
    </xf>
    <xf numFmtId="0" fontId="22" fillId="0" borderId="33" xfId="0" applyFont="1" applyBorder="1" applyAlignment="1" applyProtection="1">
      <alignment horizontal="left" vertical="center"/>
      <protection locked="0"/>
    </xf>
    <xf numFmtId="0" fontId="22" fillId="0" borderId="31" xfId="0" applyFont="1" applyBorder="1" applyAlignment="1">
      <alignment horizontal="left" vertical="center"/>
    </xf>
    <xf numFmtId="0" fontId="23" fillId="0" borderId="0" xfId="0" applyFont="1" applyAlignment="1">
      <alignment horizontal="center" vertical="center"/>
    </xf>
    <xf numFmtId="0" fontId="23" fillId="0" borderId="25" xfId="0" applyFont="1" applyBorder="1" applyAlignment="1">
      <alignment horizontal="center" vertical="center"/>
    </xf>
    <xf numFmtId="0" fontId="22" fillId="0" borderId="26" xfId="0" applyFont="1" applyBorder="1" applyAlignment="1">
      <alignment horizontal="left" vertical="center"/>
    </xf>
    <xf numFmtId="0" fontId="22" fillId="0" borderId="23" xfId="0" applyFont="1" applyBorder="1" applyAlignment="1">
      <alignment horizontal="left" vertical="center"/>
    </xf>
    <xf numFmtId="0" fontId="22" fillId="0" borderId="25" xfId="0" applyFont="1" applyBorder="1" applyAlignment="1">
      <alignment horizontal="center" vertical="center"/>
    </xf>
    <xf numFmtId="0" fontId="22" fillId="0" borderId="36" xfId="0" applyFont="1" applyBorder="1" applyAlignment="1" applyProtection="1">
      <alignment horizontal="left" vertical="center"/>
      <protection locked="0"/>
    </xf>
    <xf numFmtId="0" fontId="22" fillId="0" borderId="11" xfId="0" applyFont="1" applyBorder="1" applyAlignment="1">
      <alignment horizontal="left" vertical="center"/>
    </xf>
    <xf numFmtId="0" fontId="22" fillId="0" borderId="10" xfId="0" applyFont="1" applyBorder="1" applyAlignment="1">
      <alignment horizontal="right" vertical="center"/>
    </xf>
    <xf numFmtId="0" fontId="22" fillId="0" borderId="32" xfId="0" applyFont="1" applyBorder="1" applyAlignment="1">
      <alignment horizontal="center" vertical="center"/>
    </xf>
    <xf numFmtId="0" fontId="22" fillId="0" borderId="14" xfId="0" applyFont="1" applyBorder="1" applyAlignment="1" applyProtection="1">
      <alignment vertical="center"/>
      <protection locked="0"/>
    </xf>
    <xf numFmtId="0" fontId="22" fillId="0" borderId="34" xfId="0" applyFont="1" applyBorder="1" applyAlignment="1">
      <alignment vertical="center"/>
    </xf>
    <xf numFmtId="0" fontId="22" fillId="0" borderId="29" xfId="0" applyFont="1" applyBorder="1" applyAlignment="1">
      <alignment vertical="center"/>
    </xf>
    <xf numFmtId="0" fontId="22" fillId="0" borderId="35" xfId="0" applyFont="1" applyBorder="1" applyAlignment="1">
      <alignment horizontal="right" vertical="center"/>
    </xf>
    <xf numFmtId="0" fontId="22" fillId="0" borderId="33" xfId="0" applyFont="1" applyBorder="1" applyAlignment="1" applyProtection="1">
      <alignment horizontal="center" vertical="center"/>
      <protection locked="0"/>
    </xf>
    <xf numFmtId="0" fontId="22" fillId="0" borderId="0" xfId="0" applyFont="1" applyBorder="1" applyAlignment="1" applyProtection="1">
      <alignment vertical="center"/>
      <protection locked="0"/>
    </xf>
    <xf numFmtId="0" fontId="22" fillId="0" borderId="7" xfId="0" applyFont="1" applyBorder="1" applyAlignment="1">
      <alignment vertical="center"/>
    </xf>
    <xf numFmtId="0" fontId="22" fillId="0" borderId="12" xfId="0" applyFont="1" applyBorder="1" applyAlignment="1">
      <alignment vertical="center"/>
    </xf>
    <xf numFmtId="0" fontId="22" fillId="0" borderId="8" xfId="0" applyFont="1" applyBorder="1" applyAlignment="1">
      <alignment horizontal="right" vertical="center"/>
    </xf>
    <xf numFmtId="0" fontId="22" fillId="0" borderId="36" xfId="0" applyFont="1" applyBorder="1" applyAlignment="1" applyProtection="1">
      <alignment horizontal="center" vertical="center"/>
      <protection locked="0"/>
    </xf>
    <xf numFmtId="0" fontId="3" fillId="0" borderId="17" xfId="0" applyFont="1" applyBorder="1" applyAlignment="1">
      <alignment horizontal="center" vertical="center"/>
    </xf>
    <xf numFmtId="165" fontId="6" fillId="0" borderId="27" xfId="0" applyNumberFormat="1" applyFont="1" applyFill="1" applyBorder="1" applyAlignment="1">
      <alignment horizontal="center" vertical="center"/>
    </xf>
    <xf numFmtId="165" fontId="0" fillId="0" borderId="27" xfId="0" applyNumberFormat="1" applyFill="1" applyBorder="1" applyAlignment="1">
      <alignment horizontal="center" vertical="center"/>
    </xf>
    <xf numFmtId="2" fontId="6" fillId="0" borderId="18" xfId="0" applyNumberFormat="1" applyFont="1" applyBorder="1" applyAlignment="1">
      <alignment horizontal="center" vertical="center"/>
    </xf>
    <xf numFmtId="2" fontId="0" fillId="0" borderId="19" xfId="0" applyNumberFormat="1" applyFill="1" applyBorder="1" applyAlignment="1">
      <alignment horizontal="center" vertical="center"/>
    </xf>
    <xf numFmtId="0" fontId="3" fillId="0" borderId="28" xfId="0" applyFont="1" applyBorder="1" applyAlignment="1">
      <alignment horizontal="center" vertical="center"/>
    </xf>
    <xf numFmtId="0" fontId="0" fillId="0" borderId="18" xfId="0" applyBorder="1" applyAlignment="1">
      <alignment horizontal="center" vertical="center"/>
    </xf>
    <xf numFmtId="2" fontId="0" fillId="0" borderId="18" xfId="0" applyNumberFormat="1" applyFill="1" applyBorder="1" applyAlignment="1">
      <alignment horizontal="center" vertical="center"/>
    </xf>
    <xf numFmtId="2" fontId="0" fillId="0" borderId="19" xfId="0" applyNumberFormat="1" applyBorder="1" applyAlignment="1">
      <alignment horizontal="center" vertical="center"/>
    </xf>
    <xf numFmtId="0" fontId="24" fillId="0" borderId="17" xfId="0" applyFont="1" applyBorder="1" applyAlignment="1">
      <alignment horizontal="center" wrapText="1"/>
    </xf>
    <xf numFmtId="0" fontId="18" fillId="0" borderId="0" xfId="0" applyFont="1"/>
    <xf numFmtId="2" fontId="18" fillId="0" borderId="0" xfId="0" applyNumberFormat="1" applyFont="1" applyFill="1"/>
    <xf numFmtId="0" fontId="17"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3" fillId="4" borderId="6" xfId="0" applyFont="1" applyFill="1" applyBorder="1"/>
    <xf numFmtId="0" fontId="15" fillId="0" borderId="32" xfId="0" applyFont="1" applyFill="1" applyBorder="1" applyAlignment="1">
      <alignment horizontal="center" vertical="center"/>
    </xf>
    <xf numFmtId="0" fontId="6" fillId="0" borderId="36" xfId="0" applyFont="1" applyBorder="1"/>
    <xf numFmtId="0" fontId="15" fillId="5" borderId="47" xfId="0" applyFont="1" applyFill="1" applyBorder="1" applyAlignment="1">
      <alignment horizontal="left" vertical="center"/>
    </xf>
    <xf numFmtId="164" fontId="15" fillId="5" borderId="26" xfId="0" applyNumberFormat="1" applyFont="1" applyFill="1" applyBorder="1" applyAlignment="1">
      <alignment horizontal="right" vertical="center"/>
    </xf>
    <xf numFmtId="0" fontId="3" fillId="0" borderId="7" xfId="0" applyFont="1" applyBorder="1" applyAlignment="1">
      <alignment horizontal="left" vertical="center" wrapText="1"/>
    </xf>
    <xf numFmtId="0" fontId="22" fillId="0" borderId="48" xfId="0" applyFont="1" applyBorder="1" applyAlignment="1">
      <alignment vertical="center"/>
    </xf>
    <xf numFmtId="0" fontId="22" fillId="0" borderId="39" xfId="0" applyFont="1" applyBorder="1" applyAlignment="1">
      <alignment vertical="center"/>
    </xf>
    <xf numFmtId="0" fontId="22" fillId="0" borderId="50" xfId="0" applyFont="1" applyBorder="1" applyAlignment="1">
      <alignment vertical="center"/>
    </xf>
    <xf numFmtId="0" fontId="22" fillId="0" borderId="9" xfId="0" applyFont="1" applyBorder="1" applyAlignment="1">
      <alignment horizontal="left" vertical="center"/>
    </xf>
    <xf numFmtId="14" fontId="22" fillId="0" borderId="11" xfId="0" applyNumberFormat="1" applyFont="1" applyBorder="1" applyAlignment="1" applyProtection="1">
      <alignment vertical="center"/>
      <protection locked="0"/>
    </xf>
    <xf numFmtId="2" fontId="6" fillId="10" borderId="33" xfId="0" applyNumberFormat="1" applyFont="1" applyFill="1" applyBorder="1" applyAlignment="1" applyProtection="1">
      <alignment horizontal="center" vertical="center"/>
    </xf>
    <xf numFmtId="2" fontId="6" fillId="10" borderId="36" xfId="0" applyNumberFormat="1" applyFont="1" applyFill="1" applyBorder="1" applyAlignment="1" applyProtection="1">
      <alignment horizontal="center" vertical="center"/>
    </xf>
    <xf numFmtId="0" fontId="6" fillId="0" borderId="28"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6" fillId="0" borderId="15" xfId="0" applyFont="1" applyFill="1" applyBorder="1"/>
    <xf numFmtId="0" fontId="6" fillId="0" borderId="1" xfId="0" applyFont="1" applyFill="1" applyBorder="1" applyAlignment="1">
      <alignment horizontal="left" vertical="center"/>
    </xf>
    <xf numFmtId="1" fontId="6" fillId="0" borderId="3" xfId="0" applyNumberFormat="1" applyFont="1" applyFill="1" applyBorder="1" applyAlignment="1">
      <alignment horizontal="right" vertical="center"/>
    </xf>
    <xf numFmtId="0" fontId="3" fillId="3" borderId="29"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1" xfId="0" applyFont="1" applyFill="1" applyBorder="1" applyAlignment="1">
      <alignment horizontal="center" vertical="center"/>
    </xf>
    <xf numFmtId="166" fontId="6" fillId="10" borderId="32" xfId="0" applyNumberFormat="1" applyFont="1" applyFill="1" applyBorder="1" applyAlignment="1" applyProtection="1">
      <alignment horizontal="center" vertical="center"/>
    </xf>
    <xf numFmtId="166" fontId="6" fillId="10" borderId="33" xfId="0" applyNumberFormat="1" applyFont="1" applyFill="1" applyBorder="1" applyAlignment="1" applyProtection="1">
      <alignment horizontal="center" vertical="center"/>
    </xf>
    <xf numFmtId="0" fontId="24" fillId="0" borderId="0" xfId="0" quotePrefix="1" applyFont="1"/>
    <xf numFmtId="2" fontId="0" fillId="0" borderId="2" xfId="0" applyNumberFormat="1" applyBorder="1"/>
    <xf numFmtId="0" fontId="0" fillId="0" borderId="17" xfId="0" applyBorder="1"/>
    <xf numFmtId="0" fontId="12" fillId="7" borderId="0" xfId="0" applyFont="1" applyFill="1" applyBorder="1" applyAlignment="1">
      <alignment horizontal="left" vertical="top" wrapText="1"/>
    </xf>
    <xf numFmtId="0" fontId="6" fillId="3" borderId="18" xfId="0" applyFont="1" applyFill="1" applyBorder="1" applyAlignment="1" applyProtection="1">
      <alignment horizontal="left" vertical="center"/>
      <protection locked="0"/>
    </xf>
    <xf numFmtId="0" fontId="6" fillId="3" borderId="27" xfId="0" applyFont="1" applyFill="1" applyBorder="1" applyAlignment="1" applyProtection="1">
      <alignment horizontal="left" vertical="center"/>
      <protection locked="0"/>
    </xf>
    <xf numFmtId="0" fontId="6" fillId="3" borderId="19" xfId="0" applyFont="1" applyFill="1" applyBorder="1" applyAlignment="1" applyProtection="1">
      <alignment horizontal="left" vertical="center"/>
      <protection locked="0"/>
    </xf>
    <xf numFmtId="0" fontId="20" fillId="0" borderId="53"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15" fillId="0" borderId="4" xfId="0" applyFont="1" applyBorder="1" applyAlignment="1">
      <alignment horizontal="right" vertical="center"/>
    </xf>
    <xf numFmtId="0" fontId="6" fillId="0" borderId="4" xfId="0" applyFont="1" applyBorder="1" applyAlignment="1">
      <alignment vertical="center"/>
    </xf>
    <xf numFmtId="0" fontId="6" fillId="0" borderId="51" xfId="0" applyFont="1" applyBorder="1" applyAlignment="1">
      <alignment vertical="center"/>
    </xf>
    <xf numFmtId="0" fontId="6" fillId="5" borderId="48" xfId="0" applyFont="1" applyFill="1" applyBorder="1" applyAlignment="1">
      <alignment horizontal="right" vertical="center"/>
    </xf>
    <xf numFmtId="0" fontId="6" fillId="0" borderId="49" xfId="0" applyFont="1" applyBorder="1" applyAlignment="1">
      <alignment horizontal="right"/>
    </xf>
    <xf numFmtId="0" fontId="6" fillId="0" borderId="21" xfId="0" applyFont="1" applyFill="1" applyBorder="1" applyAlignment="1">
      <alignment horizontal="center" wrapText="1"/>
    </xf>
    <xf numFmtId="0" fontId="6" fillId="0" borderId="22" xfId="0" applyFont="1" applyFill="1" applyBorder="1" applyAlignment="1">
      <alignment horizontal="center" wrapText="1"/>
    </xf>
    <xf numFmtId="0" fontId="6" fillId="0" borderId="44" xfId="0" applyFont="1" applyFill="1" applyBorder="1" applyAlignment="1">
      <alignment horizontal="center" wrapText="1"/>
    </xf>
    <xf numFmtId="0" fontId="0" fillId="0" borderId="6" xfId="0" applyBorder="1" applyAlignment="1">
      <alignment horizontal="center"/>
    </xf>
    <xf numFmtId="0" fontId="0" fillId="0" borderId="16" xfId="0" applyBorder="1" applyAlignment="1">
      <alignment horizont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wrapText="1"/>
    </xf>
    <xf numFmtId="0" fontId="0" fillId="0" borderId="16" xfId="0" applyBorder="1" applyAlignment="1">
      <alignment horizontal="center" wrapText="1"/>
    </xf>
    <xf numFmtId="2" fontId="0" fillId="4" borderId="18" xfId="0" applyNumberFormat="1" applyFill="1" applyBorder="1" applyAlignment="1">
      <alignment horizontal="center" vertical="center" wrapText="1"/>
    </xf>
    <xf numFmtId="0" fontId="0" fillId="4" borderId="19" xfId="0" applyFill="1" applyBorder="1" applyAlignment="1">
      <alignment horizontal="center" vertical="center"/>
    </xf>
    <xf numFmtId="0" fontId="0" fillId="8" borderId="18" xfId="0" applyFill="1" applyBorder="1" applyAlignment="1">
      <alignment wrapText="1"/>
    </xf>
    <xf numFmtId="0" fontId="0" fillId="8" borderId="19" xfId="0" applyFill="1" applyBorder="1" applyAlignment="1"/>
    <xf numFmtId="2" fontId="0" fillId="6" borderId="6" xfId="0" applyNumberFormat="1" applyFill="1" applyBorder="1" applyAlignment="1">
      <alignment horizontal="center" vertical="center"/>
    </xf>
    <xf numFmtId="2" fontId="0" fillId="6" borderId="28" xfId="0" applyNumberFormat="1" applyFill="1" applyBorder="1" applyAlignment="1">
      <alignment horizontal="center" vertical="center"/>
    </xf>
    <xf numFmtId="2" fontId="0" fillId="6" borderId="16"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wrapText="1"/>
    </xf>
    <xf numFmtId="0" fontId="0" fillId="0" borderId="0" xfId="0" applyBorder="1" applyAlignment="1">
      <alignment horizontal="center"/>
    </xf>
    <xf numFmtId="0" fontId="24"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3" fillId="0" borderId="37" xfId="0" applyFont="1" applyBorder="1" applyAlignment="1">
      <alignment horizontal="center" vertical="center" textRotation="90"/>
    </xf>
    <xf numFmtId="0" fontId="3" fillId="0" borderId="20" xfId="0" applyFont="1" applyBorder="1" applyAlignment="1">
      <alignment horizontal="center" vertical="center" textRotation="90"/>
    </xf>
    <xf numFmtId="0" fontId="3" fillId="0" borderId="38" xfId="0" applyFont="1" applyBorder="1" applyAlignment="1">
      <alignment horizontal="center" vertical="center" textRotation="90"/>
    </xf>
    <xf numFmtId="0" fontId="3" fillId="0" borderId="6" xfId="0" applyFont="1" applyBorder="1" applyAlignment="1">
      <alignment horizontal="center" vertical="center"/>
    </xf>
    <xf numFmtId="0" fontId="3" fillId="0" borderId="28" xfId="0" applyFont="1" applyBorder="1" applyAlignment="1">
      <alignment horizontal="center" vertical="center"/>
    </xf>
    <xf numFmtId="0" fontId="3" fillId="0" borderId="16" xfId="0" applyFont="1" applyBorder="1" applyAlignment="1">
      <alignment horizontal="center" vertical="center"/>
    </xf>
    <xf numFmtId="0" fontId="5" fillId="0" borderId="6" xfId="0" applyFont="1" applyBorder="1" applyAlignment="1">
      <alignment horizontal="center" vertical="center"/>
    </xf>
    <xf numFmtId="0" fontId="5" fillId="0" borderId="16" xfId="0" applyFont="1" applyBorder="1" applyAlignment="1">
      <alignment horizontal="center" vertical="center"/>
    </xf>
    <xf numFmtId="0" fontId="22" fillId="5" borderId="6" xfId="0" applyFont="1" applyFill="1" applyBorder="1" applyAlignment="1">
      <alignment horizontal="center" vertical="center"/>
    </xf>
    <xf numFmtId="0" fontId="22" fillId="5" borderId="28" xfId="0" applyFont="1" applyFill="1" applyBorder="1" applyAlignment="1">
      <alignment horizontal="center" vertical="center"/>
    </xf>
    <xf numFmtId="0" fontId="22" fillId="5" borderId="16" xfId="0" applyFont="1" applyFill="1" applyBorder="1" applyAlignment="1">
      <alignment vertical="center"/>
    </xf>
  </cellXfs>
  <cellStyles count="1">
    <cellStyle name="Standaard" xfId="0" builtinId="0"/>
  </cellStyles>
  <dxfs count="14">
    <dxf>
      <font>
        <b/>
        <i val="0"/>
        <color rgb="FFFFFF00"/>
      </font>
      <fill>
        <patternFill patternType="solid">
          <fgColor indexed="64"/>
          <bgColor rgb="FFFF0000"/>
        </patternFill>
      </fill>
    </dxf>
    <dxf>
      <font>
        <b/>
        <i val="0"/>
        <color rgb="FFFFFF00"/>
      </font>
      <fill>
        <patternFill patternType="solid">
          <fgColor indexed="64"/>
          <bgColor rgb="FF15BE0E"/>
        </patternFill>
      </fill>
    </dxf>
    <dxf>
      <font>
        <b/>
        <i val="0"/>
        <color rgb="FFFFFF00"/>
      </font>
      <fill>
        <patternFill patternType="solid">
          <fgColor indexed="64"/>
          <bgColor rgb="FFFF0000"/>
        </patternFill>
      </fill>
    </dxf>
    <dxf>
      <font>
        <b/>
        <i val="0"/>
        <color rgb="FFFFFF00"/>
      </font>
      <fill>
        <patternFill patternType="solid">
          <fgColor indexed="64"/>
          <bgColor rgb="FFFF0000"/>
        </patternFill>
      </fill>
    </dxf>
    <dxf>
      <font>
        <b/>
        <i val="0"/>
        <color rgb="FFFFFF00"/>
      </font>
      <fill>
        <patternFill patternType="solid">
          <fgColor indexed="64"/>
          <bgColor rgb="FFFF0000"/>
        </patternFill>
      </fill>
    </dxf>
    <dxf>
      <font>
        <b/>
        <i val="0"/>
        <color rgb="FFFFFF00"/>
      </font>
      <fill>
        <patternFill patternType="solid">
          <fgColor indexed="64"/>
          <bgColor rgb="FFFF0000"/>
        </patternFill>
      </fill>
    </dxf>
    <dxf>
      <font>
        <b/>
        <i val="0"/>
        <color rgb="FFFFFF00"/>
      </font>
      <fill>
        <patternFill patternType="solid">
          <fgColor indexed="64"/>
          <bgColor rgb="FFFF0000"/>
        </patternFill>
      </fill>
      <border>
        <left style="thin">
          <color indexed="64"/>
        </left>
        <right style="thin">
          <color indexed="64"/>
        </right>
        <top style="thin">
          <color indexed="64"/>
        </top>
        <bottom style="thin">
          <color indexed="64"/>
        </bottom>
      </border>
    </dxf>
    <dxf>
      <font>
        <color rgb="FFFF0000"/>
      </font>
      <fill>
        <patternFill patternType="solid">
          <fgColor indexed="64"/>
          <bgColor rgb="FFFFFF00"/>
        </patternFill>
      </fill>
    </dxf>
    <dxf>
      <font>
        <color rgb="FFFFFF00"/>
      </font>
      <fill>
        <patternFill patternType="solid">
          <fgColor indexed="64"/>
          <bgColor rgb="FFFF0000"/>
        </patternFill>
      </fill>
      <border>
        <left style="thin">
          <color indexed="64"/>
        </left>
        <right style="thin">
          <color indexed="64"/>
        </right>
        <top style="thin">
          <color indexed="64"/>
        </top>
        <bottom style="thin">
          <color indexed="64"/>
        </bottom>
      </border>
    </dxf>
    <dxf>
      <font>
        <b/>
        <i val="0"/>
        <color rgb="FFFFFF00"/>
      </font>
      <fill>
        <patternFill patternType="solid">
          <fgColor indexed="64"/>
          <bgColor rgb="FFFF0000"/>
        </patternFill>
      </fill>
    </dxf>
    <dxf>
      <font>
        <b/>
        <i val="0"/>
        <color rgb="FFFFFF00"/>
      </font>
      <fill>
        <patternFill patternType="solid">
          <fgColor indexed="64"/>
          <bgColor rgb="FFFF0000"/>
        </patternFill>
      </fill>
    </dxf>
    <dxf>
      <font>
        <color rgb="FFFFFF00"/>
      </font>
      <fill>
        <patternFill patternType="solid">
          <fgColor indexed="64"/>
          <bgColor rgb="FFFF0000"/>
        </patternFill>
      </fill>
      <border>
        <left style="thin">
          <color indexed="64"/>
        </left>
        <right style="thin">
          <color indexed="64"/>
        </right>
        <top style="thin">
          <color indexed="64"/>
        </top>
        <bottom style="thin">
          <color indexed="64"/>
        </bottom>
      </border>
    </dxf>
    <dxf>
      <font>
        <b/>
        <i val="0"/>
      </font>
    </dxf>
    <dxf>
      <fill>
        <patternFill>
          <bgColor rgb="FF92D050"/>
        </patternFill>
      </fill>
    </dxf>
  </dxfs>
  <tableStyles count="0" defaultTableStyle="TableStyleMedium9" defaultPivotStyle="PivotStyleLight16"/>
  <colors>
    <mruColors>
      <color rgb="FFCCFFCC"/>
      <color rgb="FFC8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panose="020B0604020202020204" pitchFamily="34" charset="0"/>
                <a:cs typeface="Arial" panose="020B0604020202020204" pitchFamily="34" charset="0"/>
              </a:defRPr>
            </a:pPr>
            <a:r>
              <a:rPr lang="nl-NL" sz="1600">
                <a:solidFill>
                  <a:srgbClr val="0000FF"/>
                </a:solidFill>
                <a:latin typeface="Arial" panose="020B0604020202020204" pitchFamily="34" charset="0"/>
                <a:cs typeface="Arial" panose="020B0604020202020204" pitchFamily="34" charset="0"/>
              </a:rPr>
              <a:t>In flight moment progression</a:t>
            </a:r>
            <a:r>
              <a:rPr lang="nl-NL" sz="1600" baseline="0">
                <a:solidFill>
                  <a:srgbClr val="0000FF"/>
                </a:solidFill>
                <a:latin typeface="Arial" panose="020B0604020202020204" pitchFamily="34" charset="0"/>
                <a:cs typeface="Arial" panose="020B0604020202020204" pitchFamily="34" charset="0"/>
              </a:rPr>
              <a:t> PH-ZVA</a:t>
            </a:r>
            <a:endParaRPr lang="nl-NL" sz="1600">
              <a:solidFill>
                <a:srgbClr val="0000FF"/>
              </a:solidFill>
              <a:latin typeface="Arial" panose="020B0604020202020204" pitchFamily="34" charset="0"/>
              <a:cs typeface="Arial" panose="020B0604020202020204" pitchFamily="34" charset="0"/>
            </a:endParaRPr>
          </a:p>
        </c:rich>
      </c:tx>
      <c:layout>
        <c:manualLayout>
          <c:xMode val="edge"/>
          <c:yMode val="edge"/>
          <c:x val="0.2062393875220426"/>
          <c:y val="1.2301076306480453E-3"/>
        </c:manualLayout>
      </c:layout>
      <c:overlay val="0"/>
      <c:spPr>
        <a:solidFill>
          <a:srgbClr val="FFFFFF"/>
        </a:solidFill>
      </c:spPr>
    </c:title>
    <c:autoTitleDeleted val="0"/>
    <c:plotArea>
      <c:layout>
        <c:manualLayout>
          <c:layoutTarget val="inner"/>
          <c:xMode val="edge"/>
          <c:yMode val="edge"/>
          <c:x val="8.6057248384118185E-2"/>
          <c:y val="0.13481011014447589"/>
          <c:w val="0.72613300376401024"/>
          <c:h val="0.75059364777667059"/>
        </c:manualLayout>
      </c:layout>
      <c:scatterChart>
        <c:scatterStyle val="lineMarker"/>
        <c:varyColors val="0"/>
        <c:ser>
          <c:idx val="0"/>
          <c:order val="0"/>
          <c:tx>
            <c:strRef>
              <c:f>LIMITATIONS!$E$9</c:f>
              <c:strCache>
                <c:ptCount val="1"/>
                <c:pt idx="0">
                  <c:v>NORMAL</c:v>
                </c:pt>
              </c:strCache>
            </c:strRef>
          </c:tx>
          <c:spPr>
            <a:ln w="31750"/>
          </c:spPr>
          <c:marker>
            <c:symbol val="none"/>
          </c:marker>
          <c:xVal>
            <c:numRef>
              <c:f>LIMITATIONS!$G$9:$G$13</c:f>
              <c:numCache>
                <c:formatCode>General</c:formatCode>
                <c:ptCount val="5"/>
                <c:pt idx="0">
                  <c:v>83.027000000000001</c:v>
                </c:pt>
                <c:pt idx="1">
                  <c:v>97.440000000000012</c:v>
                </c:pt>
                <c:pt idx="2">
                  <c:v>155.39400000000001</c:v>
                </c:pt>
                <c:pt idx="3">
                  <c:v>229.30800000000002</c:v>
                </c:pt>
                <c:pt idx="4">
                  <c:v>161.14600000000002</c:v>
                </c:pt>
              </c:numCache>
            </c:numRef>
          </c:xVal>
          <c:yVal>
            <c:numRef>
              <c:f>LIMITATIONS!$D$9:$D$13</c:f>
              <c:numCache>
                <c:formatCode>General</c:formatCode>
                <c:ptCount val="5"/>
                <c:pt idx="0">
                  <c:v>409</c:v>
                </c:pt>
                <c:pt idx="1">
                  <c:v>480</c:v>
                </c:pt>
                <c:pt idx="2">
                  <c:v>582</c:v>
                </c:pt>
                <c:pt idx="3">
                  <c:v>582</c:v>
                </c:pt>
                <c:pt idx="4">
                  <c:v>409</c:v>
                </c:pt>
              </c:numCache>
            </c:numRef>
          </c:yVal>
          <c:smooth val="0"/>
        </c:ser>
        <c:ser>
          <c:idx val="1"/>
          <c:order val="1"/>
          <c:tx>
            <c:strRef>
              <c:f>LIMITATIONS!$E$15</c:f>
              <c:strCache>
                <c:ptCount val="1"/>
              </c:strCache>
            </c:strRef>
          </c:tx>
          <c:spPr>
            <a:ln w="25400" cap="sq"/>
          </c:spPr>
          <c:marker>
            <c:symbol val="none"/>
          </c:marker>
          <c:xVal>
            <c:numRef>
              <c:f>LIMITATIONS!$G$15:$G$17</c:f>
              <c:numCache>
                <c:formatCode>General</c:formatCode>
                <c:ptCount val="3"/>
              </c:numCache>
            </c:numRef>
          </c:xVal>
          <c:yVal>
            <c:numRef>
              <c:f>LIMITATIONS!$D$15:$D$17</c:f>
              <c:numCache>
                <c:formatCode>General</c:formatCode>
                <c:ptCount val="3"/>
              </c:numCache>
            </c:numRef>
          </c:yVal>
          <c:smooth val="0"/>
        </c:ser>
        <c:ser>
          <c:idx val="2"/>
          <c:order val="2"/>
          <c:tx>
            <c:strRef>
              <c:f>CALCULATORS!$C$36</c:f>
              <c:strCache>
                <c:ptCount val="1"/>
                <c:pt idx="0">
                  <c:v>TRIP FUEL</c:v>
                </c:pt>
              </c:strCache>
            </c:strRef>
          </c:tx>
          <c:spPr>
            <a:ln w="38100" cap="flat">
              <a:solidFill>
                <a:srgbClr val="0000FF"/>
              </a:solidFill>
              <a:headEnd type="triangle"/>
              <a:tailEnd type="none"/>
            </a:ln>
          </c:spPr>
          <c:marker>
            <c:symbol val="none"/>
          </c:marker>
          <c:xVal>
            <c:numRef>
              <c:f>CALCULATORS!$B$36:$B$37</c:f>
              <c:numCache>
                <c:formatCode>0.00</c:formatCode>
                <c:ptCount val="2"/>
                <c:pt idx="0">
                  <c:v>176.31207959911572</c:v>
                </c:pt>
                <c:pt idx="1">
                  <c:v>173.36704123435686</c:v>
                </c:pt>
              </c:numCache>
            </c:numRef>
          </c:xVal>
          <c:yVal>
            <c:numRef>
              <c:f>CALCULATORS!$A$36:$A$37</c:f>
              <c:numCache>
                <c:formatCode>0.00</c:formatCode>
                <c:ptCount val="2"/>
                <c:pt idx="0">
                  <c:v>549.22926226025015</c:v>
                </c:pt>
                <c:pt idx="1">
                  <c:v>560.68855550833905</c:v>
                </c:pt>
              </c:numCache>
            </c:numRef>
          </c:yVal>
          <c:smooth val="0"/>
        </c:ser>
        <c:ser>
          <c:idx val="3"/>
          <c:order val="3"/>
          <c:tx>
            <c:strRef>
              <c:f>CALCULATORS!$D$35</c:f>
              <c:strCache>
                <c:ptCount val="1"/>
                <c:pt idx="0">
                  <c:v>ALTERNATE &amp;
RESERVE 
FUEL</c:v>
                </c:pt>
              </c:strCache>
            </c:strRef>
          </c:tx>
          <c:spPr>
            <a:ln w="38100">
              <a:solidFill>
                <a:srgbClr val="00FF00"/>
              </a:solidFill>
              <a:headEnd type="triangle"/>
              <a:tailEnd type="none"/>
            </a:ln>
          </c:spPr>
          <c:marker>
            <c:symbol val="none"/>
          </c:marker>
          <c:xVal>
            <c:numRef>
              <c:f>CALCULATORS!$B$35:$B$36</c:f>
              <c:numCache>
                <c:formatCode>0.00</c:formatCode>
                <c:ptCount val="2"/>
                <c:pt idx="0">
                  <c:v>184.595</c:v>
                </c:pt>
                <c:pt idx="1">
                  <c:v>176.31207959911572</c:v>
                </c:pt>
              </c:numCache>
            </c:numRef>
          </c:xVal>
          <c:yVal>
            <c:numRef>
              <c:f>CALCULATORS!$A$35:$A$36</c:f>
              <c:numCache>
                <c:formatCode>0.00</c:formatCode>
                <c:ptCount val="2"/>
                <c:pt idx="0">
                  <c:v>517</c:v>
                </c:pt>
                <c:pt idx="1">
                  <c:v>549.22926226025015</c:v>
                </c:pt>
              </c:numCache>
            </c:numRef>
          </c:yVal>
          <c:smooth val="0"/>
        </c:ser>
        <c:dLbls>
          <c:showLegendKey val="0"/>
          <c:showVal val="0"/>
          <c:showCatName val="0"/>
          <c:showSerName val="0"/>
          <c:showPercent val="0"/>
          <c:showBubbleSize val="0"/>
        </c:dLbls>
        <c:axId val="1916281680"/>
        <c:axId val="1916266448"/>
      </c:scatterChart>
      <c:valAx>
        <c:axId val="1916281680"/>
        <c:scaling>
          <c:orientation val="minMax"/>
          <c:max val="235"/>
          <c:min val="50"/>
        </c:scaling>
        <c:delete val="0"/>
        <c:axPos val="b"/>
        <c:majorGridlines/>
        <c:title>
          <c:tx>
            <c:rich>
              <a:bodyPr/>
              <a:lstStyle/>
              <a:p>
                <a:pPr>
                  <a:defRPr sz="1400"/>
                </a:pPr>
                <a:r>
                  <a:rPr lang="nl-NL" sz="1400">
                    <a:latin typeface="Arial" panose="020B0604020202020204" pitchFamily="34" charset="0"/>
                    <a:cs typeface="Arial" panose="020B0604020202020204" pitchFamily="34" charset="0"/>
                  </a:rPr>
                  <a:t>Airplane moment in</a:t>
                </a:r>
                <a:r>
                  <a:rPr lang="nl-NL" sz="1400" baseline="0">
                    <a:latin typeface="Arial" panose="020B0604020202020204" pitchFamily="34" charset="0"/>
                    <a:cs typeface="Arial" panose="020B0604020202020204" pitchFamily="34" charset="0"/>
                  </a:rPr>
                  <a:t> </a:t>
                </a:r>
                <a:r>
                  <a:rPr lang="nl-NL" sz="1400" b="0" baseline="0">
                    <a:latin typeface="Arial" panose="020B0604020202020204" pitchFamily="34" charset="0"/>
                    <a:cs typeface="Arial" panose="020B0604020202020204" pitchFamily="34" charset="0"/>
                  </a:rPr>
                  <a:t>kg*meter</a:t>
                </a:r>
                <a:endParaRPr lang="nl-NL" sz="1400" b="0">
                  <a:latin typeface="Arial" panose="020B0604020202020204" pitchFamily="34" charset="0"/>
                  <a:cs typeface="Arial" panose="020B0604020202020204" pitchFamily="34" charset="0"/>
                </a:endParaRPr>
              </a:p>
            </c:rich>
          </c:tx>
          <c:layout>
            <c:manualLayout>
              <c:xMode val="edge"/>
              <c:yMode val="edge"/>
              <c:x val="0.549612660952007"/>
              <c:y val="0.93037329152823423"/>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16266448"/>
        <c:crossesAt val="0"/>
        <c:crossBetween val="midCat"/>
      </c:valAx>
      <c:valAx>
        <c:axId val="1916266448"/>
        <c:scaling>
          <c:orientation val="minMax"/>
          <c:max val="600"/>
          <c:min val="400"/>
        </c:scaling>
        <c:delete val="0"/>
        <c:axPos val="l"/>
        <c:majorGridlines/>
        <c:title>
          <c:tx>
            <c:rich>
              <a:bodyPr rot="0" vert="horz"/>
              <a:lstStyle/>
              <a:p>
                <a:pPr algn="ctr">
                  <a:defRPr sz="1400" b="0" i="0" u="none" strike="noStrike" baseline="0">
                    <a:solidFill>
                      <a:srgbClr val="000000"/>
                    </a:solidFill>
                    <a:latin typeface="Arial"/>
                    <a:ea typeface="Arial"/>
                    <a:cs typeface="Arial"/>
                  </a:defRPr>
                </a:pPr>
                <a:r>
                  <a:rPr lang="nl-NL" sz="1400" b="1" i="0" u="none" strike="noStrike" baseline="0">
                    <a:solidFill>
                      <a:srgbClr val="000000"/>
                    </a:solidFill>
                    <a:latin typeface="Calibri"/>
                    <a:ea typeface="Calibri"/>
                    <a:cs typeface="Calibri"/>
                  </a:rPr>
                  <a:t> Weight</a:t>
                </a:r>
              </a:p>
              <a:p>
                <a:pPr algn="ctr">
                  <a:defRPr sz="1400" b="0" i="0" u="none" strike="noStrike" baseline="0">
                    <a:solidFill>
                      <a:srgbClr val="000000"/>
                    </a:solidFill>
                    <a:latin typeface="Arial"/>
                    <a:ea typeface="Arial"/>
                    <a:cs typeface="Arial"/>
                  </a:defRPr>
                </a:pPr>
                <a:r>
                  <a:rPr lang="nl-NL" sz="1400" b="0" i="0" u="none" strike="noStrike" baseline="0">
                    <a:solidFill>
                      <a:srgbClr val="000000"/>
                    </a:solidFill>
                    <a:latin typeface="Arial"/>
                    <a:ea typeface="Arial"/>
                    <a:cs typeface="Arial"/>
                  </a:rPr>
                  <a:t> in kg</a:t>
                </a:r>
              </a:p>
            </c:rich>
          </c:tx>
          <c:layout>
            <c:manualLayout>
              <c:xMode val="edge"/>
              <c:yMode val="edge"/>
              <c:x val="0"/>
              <c:y val="3.8856904597719602E-4"/>
            </c:manualLayout>
          </c:layout>
          <c:overlay val="0"/>
        </c:title>
        <c:numFmt formatCode="General" sourceLinked="1"/>
        <c:majorTickMark val="out"/>
        <c:minorTickMark val="none"/>
        <c:tickLblPos val="nextTo"/>
        <c:crossAx val="1916281680"/>
        <c:crosses val="autoZero"/>
        <c:crossBetween val="midCat"/>
      </c:valAx>
      <c:spPr>
        <a:solidFill>
          <a:srgbClr val="FFFF00">
            <a:alpha val="38000"/>
          </a:srgbClr>
        </a:solidFill>
      </c:spPr>
    </c:plotArea>
    <c:legend>
      <c:legendPos val="r"/>
      <c:legendEntry>
        <c:idx val="1"/>
        <c:delete val="1"/>
      </c:legendEntry>
      <c:layout>
        <c:manualLayout>
          <c:xMode val="edge"/>
          <c:yMode val="edge"/>
          <c:x val="0.81481305765540957"/>
          <c:y val="0.39832019790490897"/>
          <c:w val="0.18518694234459041"/>
          <c:h val="0.46920909594849164"/>
        </c:manualLayout>
      </c:layout>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nl-NL" sz="2400">
                <a:solidFill>
                  <a:srgbClr val="0000FF"/>
                </a:solidFill>
              </a:rPr>
              <a:t>In flight moment progression</a:t>
            </a:r>
            <a:r>
              <a:rPr lang="nl-NL" sz="2400" baseline="0">
                <a:solidFill>
                  <a:srgbClr val="0000FF"/>
                </a:solidFill>
              </a:rPr>
              <a:t> PH-ZVA</a:t>
            </a:r>
            <a:endParaRPr lang="nl-NL" sz="2400">
              <a:solidFill>
                <a:srgbClr val="0000FF"/>
              </a:solidFill>
            </a:endParaRPr>
          </a:p>
        </c:rich>
      </c:tx>
      <c:layout>
        <c:manualLayout>
          <c:xMode val="edge"/>
          <c:yMode val="edge"/>
          <c:x val="0.2062393875220426"/>
          <c:y val="1.2301076306480453E-3"/>
        </c:manualLayout>
      </c:layout>
      <c:overlay val="0"/>
      <c:spPr>
        <a:solidFill>
          <a:srgbClr val="FFFFFF"/>
        </a:solidFill>
      </c:spPr>
    </c:title>
    <c:autoTitleDeleted val="0"/>
    <c:plotArea>
      <c:layout>
        <c:manualLayout>
          <c:layoutTarget val="inner"/>
          <c:xMode val="edge"/>
          <c:yMode val="edge"/>
          <c:x val="8.6057216908709294E-2"/>
          <c:y val="0.20438592783836673"/>
          <c:w val="0.72613300376401024"/>
          <c:h val="0.70450647286358736"/>
        </c:manualLayout>
      </c:layout>
      <c:scatterChart>
        <c:scatterStyle val="lineMarker"/>
        <c:varyColors val="0"/>
        <c:ser>
          <c:idx val="0"/>
          <c:order val="0"/>
          <c:tx>
            <c:strRef>
              <c:f>LIMITATIONS!$E$9</c:f>
              <c:strCache>
                <c:ptCount val="1"/>
                <c:pt idx="0">
                  <c:v>NORMAL</c:v>
                </c:pt>
              </c:strCache>
            </c:strRef>
          </c:tx>
          <c:spPr>
            <a:ln w="31750"/>
          </c:spPr>
          <c:marker>
            <c:symbol val="none"/>
          </c:marker>
          <c:xVal>
            <c:numRef>
              <c:f>LIMITATIONS!$G$9:$G$13</c:f>
              <c:numCache>
                <c:formatCode>General</c:formatCode>
                <c:ptCount val="5"/>
                <c:pt idx="0">
                  <c:v>83.027000000000001</c:v>
                </c:pt>
                <c:pt idx="1">
                  <c:v>97.440000000000012</c:v>
                </c:pt>
                <c:pt idx="2">
                  <c:v>155.39400000000001</c:v>
                </c:pt>
                <c:pt idx="3">
                  <c:v>229.30800000000002</c:v>
                </c:pt>
                <c:pt idx="4">
                  <c:v>161.14600000000002</c:v>
                </c:pt>
              </c:numCache>
            </c:numRef>
          </c:xVal>
          <c:yVal>
            <c:numRef>
              <c:f>LIMITATIONS!$D$9:$D$13</c:f>
              <c:numCache>
                <c:formatCode>General</c:formatCode>
                <c:ptCount val="5"/>
                <c:pt idx="0">
                  <c:v>409</c:v>
                </c:pt>
                <c:pt idx="1">
                  <c:v>480</c:v>
                </c:pt>
                <c:pt idx="2">
                  <c:v>582</c:v>
                </c:pt>
                <c:pt idx="3">
                  <c:v>582</c:v>
                </c:pt>
                <c:pt idx="4">
                  <c:v>409</c:v>
                </c:pt>
              </c:numCache>
            </c:numRef>
          </c:yVal>
          <c:smooth val="0"/>
        </c:ser>
        <c:ser>
          <c:idx val="1"/>
          <c:order val="1"/>
          <c:tx>
            <c:strRef>
              <c:f>LIMITATIONS!$E$15</c:f>
              <c:strCache>
                <c:ptCount val="1"/>
              </c:strCache>
            </c:strRef>
          </c:tx>
          <c:spPr>
            <a:ln w="25400" cap="sq"/>
          </c:spPr>
          <c:marker>
            <c:symbol val="none"/>
          </c:marker>
          <c:xVal>
            <c:numRef>
              <c:f>LIMITATIONS!$G$15:$G$17</c:f>
              <c:numCache>
                <c:formatCode>General</c:formatCode>
                <c:ptCount val="3"/>
              </c:numCache>
            </c:numRef>
          </c:xVal>
          <c:yVal>
            <c:numRef>
              <c:f>LIMITATIONS!$D$15:$D$17</c:f>
              <c:numCache>
                <c:formatCode>General</c:formatCode>
                <c:ptCount val="3"/>
              </c:numCache>
            </c:numRef>
          </c:yVal>
          <c:smooth val="0"/>
        </c:ser>
        <c:ser>
          <c:idx val="2"/>
          <c:order val="2"/>
          <c:tx>
            <c:strRef>
              <c:f>CALCULATORS!$C$36</c:f>
              <c:strCache>
                <c:ptCount val="1"/>
                <c:pt idx="0">
                  <c:v>TRIP FUEL</c:v>
                </c:pt>
              </c:strCache>
            </c:strRef>
          </c:tx>
          <c:spPr>
            <a:ln w="50800" cap="flat">
              <a:solidFill>
                <a:srgbClr val="0000FF"/>
              </a:solidFill>
              <a:headEnd type="triangle"/>
              <a:tailEnd type="none"/>
            </a:ln>
          </c:spPr>
          <c:marker>
            <c:symbol val="none"/>
          </c:marker>
          <c:xVal>
            <c:numRef>
              <c:f>CALCULATORS!$B$36:$B$37</c:f>
              <c:numCache>
                <c:formatCode>0.00</c:formatCode>
                <c:ptCount val="2"/>
                <c:pt idx="0">
                  <c:v>176.31207959911572</c:v>
                </c:pt>
                <c:pt idx="1">
                  <c:v>173.36704123435686</c:v>
                </c:pt>
              </c:numCache>
            </c:numRef>
          </c:xVal>
          <c:yVal>
            <c:numRef>
              <c:f>CALCULATORS!$A$36:$A$37</c:f>
              <c:numCache>
                <c:formatCode>0.00</c:formatCode>
                <c:ptCount val="2"/>
                <c:pt idx="0">
                  <c:v>549.22926226025015</c:v>
                </c:pt>
                <c:pt idx="1">
                  <c:v>560.68855550833905</c:v>
                </c:pt>
              </c:numCache>
            </c:numRef>
          </c:yVal>
          <c:smooth val="0"/>
        </c:ser>
        <c:ser>
          <c:idx val="3"/>
          <c:order val="3"/>
          <c:tx>
            <c:strRef>
              <c:f>CALCULATORS!$D$35</c:f>
              <c:strCache>
                <c:ptCount val="1"/>
                <c:pt idx="0">
                  <c:v>ALTERNATE &amp;
RESERVE 
FUEL</c:v>
                </c:pt>
              </c:strCache>
            </c:strRef>
          </c:tx>
          <c:spPr>
            <a:ln w="50800">
              <a:solidFill>
                <a:srgbClr val="00FF00"/>
              </a:solidFill>
              <a:headEnd type="triangle"/>
              <a:tailEnd type="none"/>
            </a:ln>
          </c:spPr>
          <c:marker>
            <c:symbol val="none"/>
          </c:marker>
          <c:xVal>
            <c:numRef>
              <c:f>CALCULATORS!$B$35:$B$36</c:f>
              <c:numCache>
                <c:formatCode>0.00</c:formatCode>
                <c:ptCount val="2"/>
                <c:pt idx="0">
                  <c:v>184.595</c:v>
                </c:pt>
                <c:pt idx="1">
                  <c:v>176.31207959911572</c:v>
                </c:pt>
              </c:numCache>
            </c:numRef>
          </c:xVal>
          <c:yVal>
            <c:numRef>
              <c:f>CALCULATORS!$A$35:$A$36</c:f>
              <c:numCache>
                <c:formatCode>0.00</c:formatCode>
                <c:ptCount val="2"/>
                <c:pt idx="0">
                  <c:v>517</c:v>
                </c:pt>
                <c:pt idx="1">
                  <c:v>549.22926226025015</c:v>
                </c:pt>
              </c:numCache>
            </c:numRef>
          </c:yVal>
          <c:smooth val="0"/>
        </c:ser>
        <c:dLbls>
          <c:showLegendKey val="0"/>
          <c:showVal val="0"/>
          <c:showCatName val="0"/>
          <c:showSerName val="0"/>
          <c:showPercent val="0"/>
          <c:showBubbleSize val="0"/>
        </c:dLbls>
        <c:axId val="1916264368"/>
        <c:axId val="1916252400"/>
      </c:scatterChart>
      <c:valAx>
        <c:axId val="1916264368"/>
        <c:scaling>
          <c:orientation val="minMax"/>
          <c:max val="235"/>
          <c:min val="0"/>
        </c:scaling>
        <c:delete val="0"/>
        <c:axPos val="b"/>
        <c:majorGridlines/>
        <c:title>
          <c:tx>
            <c:rich>
              <a:bodyPr/>
              <a:lstStyle/>
              <a:p>
                <a:pPr>
                  <a:defRPr sz="1800"/>
                </a:pPr>
                <a:r>
                  <a:rPr lang="nl-NL" sz="1800"/>
                  <a:t>Airplane moment in</a:t>
                </a:r>
                <a:r>
                  <a:rPr lang="nl-NL" sz="1800" baseline="0"/>
                  <a:t> kg*meter</a:t>
                </a:r>
                <a:endParaRPr lang="nl-NL" sz="1800"/>
              </a:p>
            </c:rich>
          </c:tx>
          <c:layout>
            <c:manualLayout>
              <c:xMode val="edge"/>
              <c:yMode val="edge"/>
              <c:x val="0.45265966754155701"/>
              <c:y val="0.94409096011674698"/>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16252400"/>
        <c:crossesAt val="0"/>
        <c:crossBetween val="midCat"/>
      </c:valAx>
      <c:valAx>
        <c:axId val="1916252400"/>
        <c:scaling>
          <c:orientation val="minMax"/>
          <c:max val="600"/>
          <c:min val="400"/>
        </c:scaling>
        <c:delete val="0"/>
        <c:axPos val="l"/>
        <c:majorGridlines/>
        <c:title>
          <c:tx>
            <c:rich>
              <a:bodyPr rot="0" vert="horz"/>
              <a:lstStyle/>
              <a:p>
                <a:pPr algn="ctr">
                  <a:defRPr sz="1400" b="0" i="0" u="none" strike="noStrike" baseline="0">
                    <a:solidFill>
                      <a:srgbClr val="000000"/>
                    </a:solidFill>
                    <a:latin typeface="Arial"/>
                    <a:ea typeface="Arial"/>
                    <a:cs typeface="Arial"/>
                  </a:defRPr>
                </a:pPr>
                <a:r>
                  <a:rPr lang="nl-NL" sz="1800" b="1" i="0" u="none" strike="noStrike" baseline="0">
                    <a:solidFill>
                      <a:srgbClr val="000000"/>
                    </a:solidFill>
                    <a:latin typeface="Calibri"/>
                    <a:ea typeface="Calibri"/>
                    <a:cs typeface="Calibri"/>
                  </a:rPr>
                  <a:t> weight</a:t>
                </a:r>
              </a:p>
              <a:p>
                <a:pPr algn="ctr">
                  <a:defRPr sz="1400" b="0" i="0" u="none" strike="noStrike" baseline="0">
                    <a:solidFill>
                      <a:srgbClr val="000000"/>
                    </a:solidFill>
                    <a:latin typeface="Arial"/>
                    <a:ea typeface="Arial"/>
                    <a:cs typeface="Arial"/>
                  </a:defRPr>
                </a:pPr>
                <a:r>
                  <a:rPr lang="nl-NL" sz="1400" b="0" i="0" u="none" strike="noStrike" baseline="0">
                    <a:solidFill>
                      <a:srgbClr val="000000"/>
                    </a:solidFill>
                    <a:latin typeface="Arial"/>
                    <a:ea typeface="Arial"/>
                    <a:cs typeface="Arial"/>
                  </a:rPr>
                  <a:t> in kg</a:t>
                </a:r>
              </a:p>
            </c:rich>
          </c:tx>
          <c:layout>
            <c:manualLayout>
              <c:xMode val="edge"/>
              <c:yMode val="edge"/>
              <c:x val="0"/>
              <c:y val="3.8856904597719602E-4"/>
            </c:manualLayout>
          </c:layout>
          <c:overlay val="0"/>
        </c:title>
        <c:numFmt formatCode="General" sourceLinked="1"/>
        <c:majorTickMark val="out"/>
        <c:minorTickMark val="none"/>
        <c:tickLblPos val="nextTo"/>
        <c:crossAx val="1916264368"/>
        <c:crosses val="autoZero"/>
        <c:crossBetween val="midCat"/>
      </c:valAx>
      <c:spPr>
        <a:solidFill>
          <a:srgbClr val="FFFF00">
            <a:alpha val="38000"/>
          </a:srgbClr>
        </a:solidFill>
      </c:spPr>
    </c:plotArea>
    <c:legend>
      <c:legendPos val="r"/>
      <c:legendEntry>
        <c:idx val="1"/>
        <c:delete val="1"/>
      </c:legendEntry>
      <c:layout>
        <c:manualLayout>
          <c:xMode val="edge"/>
          <c:yMode val="edge"/>
          <c:x val="0.81481305765540957"/>
          <c:y val="0.39832019790490897"/>
          <c:w val="0.18518694234459041"/>
          <c:h val="0.29140411650176101"/>
        </c:manualLayout>
      </c:layout>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337457</xdr:colOff>
      <xdr:row>0</xdr:row>
      <xdr:rowOff>32657</xdr:rowOff>
    </xdr:from>
    <xdr:to>
      <xdr:col>0</xdr:col>
      <xdr:colOff>2479101</xdr:colOff>
      <xdr:row>0</xdr:row>
      <xdr:rowOff>827314</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7457" y="32657"/>
          <a:ext cx="2141644" cy="794657"/>
        </a:xfrm>
        <a:prstGeom prst="rect">
          <a:avLst/>
        </a:prstGeom>
      </xdr:spPr>
    </xdr:pic>
    <xdr:clientData/>
  </xdr:twoCellAnchor>
  <xdr:twoCellAnchor>
    <xdr:from>
      <xdr:col>0</xdr:col>
      <xdr:colOff>0</xdr:colOff>
      <xdr:row>22</xdr:row>
      <xdr:rowOff>1704</xdr:rowOff>
    </xdr:from>
    <xdr:to>
      <xdr:col>3</xdr:col>
      <xdr:colOff>1005840</xdr:colOff>
      <xdr:row>26</xdr:row>
      <xdr:rowOff>205740</xdr:rowOff>
    </xdr:to>
    <xdr:graphicFrame macro="">
      <xdr:nvGraphicFramePr>
        <xdr:cNvPr id="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998220</xdr:colOff>
      <xdr:row>0</xdr:row>
      <xdr:rowOff>0</xdr:rowOff>
    </xdr:from>
    <xdr:to>
      <xdr:col>7</xdr:col>
      <xdr:colOff>7620</xdr:colOff>
      <xdr:row>0</xdr:row>
      <xdr:rowOff>965513</xdr:rowOff>
    </xdr:to>
    <xdr:pic>
      <xdr:nvPicPr>
        <xdr:cNvPr id="3" name="Afbeelding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0769"/>
        <a:stretch/>
      </xdr:blipFill>
      <xdr:spPr>
        <a:xfrm>
          <a:off x="7566660" y="0"/>
          <a:ext cx="1623060" cy="965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43180</xdr:colOff>
      <xdr:row>29</xdr:row>
      <xdr:rowOff>93981</xdr:rowOff>
    </xdr:from>
    <xdr:to>
      <xdr:col>14</xdr:col>
      <xdr:colOff>335280</xdr:colOff>
      <xdr:row>56</xdr:row>
      <xdr:rowOff>85726</xdr:rowOff>
    </xdr:to>
    <xdr:graphicFrame macro="">
      <xdr:nvGraphicFramePr>
        <xdr:cNvPr id="207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K59"/>
  <sheetViews>
    <sheetView showGridLines="0" tabSelected="1" zoomScaleNormal="100" workbookViewId="0">
      <selection activeCell="B19" sqref="B19"/>
    </sheetView>
  </sheetViews>
  <sheetFormatPr defaultColWidth="8.77734375" defaultRowHeight="13.2"/>
  <cols>
    <col min="1" max="1" width="46" style="15" customWidth="1"/>
    <col min="2" max="2" width="9.77734375" style="15" customWidth="1"/>
    <col min="3" max="3" width="9.77734375" style="4" customWidth="1"/>
    <col min="4" max="6" width="15.109375" style="4" customWidth="1"/>
    <col min="7" max="7" width="23" style="4" bestFit="1" customWidth="1"/>
    <col min="8" max="8" width="6" customWidth="1"/>
    <col min="9" max="9" width="8.77734375" customWidth="1"/>
    <col min="10" max="10" width="17.77734375" style="213" customWidth="1"/>
    <col min="11" max="11" width="17.44140625" customWidth="1"/>
    <col min="14" max="15" width="7.109375" customWidth="1"/>
  </cols>
  <sheetData>
    <row r="1" spans="1:11" ht="76.8" customHeight="1" thickBot="1">
      <c r="A1" s="113"/>
      <c r="B1" s="114"/>
      <c r="C1" s="114"/>
      <c r="D1" s="114"/>
      <c r="E1" s="114"/>
      <c r="F1" s="114"/>
      <c r="G1"/>
      <c r="I1" s="248" t="s">
        <v>113</v>
      </c>
    </row>
    <row r="2" spans="1:11" ht="33" customHeight="1" thickBot="1">
      <c r="A2" s="165" t="s">
        <v>118</v>
      </c>
      <c r="B2" s="112"/>
      <c r="C2" s="161"/>
      <c r="D2" s="161"/>
      <c r="E2" s="112"/>
      <c r="F2" s="112"/>
      <c r="G2" s="146"/>
    </row>
    <row r="3" spans="1:11" s="116" customFormat="1" ht="19.8" customHeight="1" thickBot="1">
      <c r="A3" s="252" t="s">
        <v>42</v>
      </c>
      <c r="B3" s="164"/>
      <c r="C3" s="162" t="s">
        <v>43</v>
      </c>
      <c r="D3" s="163">
        <f ca="1">TODAY()</f>
        <v>42782</v>
      </c>
      <c r="E3" s="160" t="s">
        <v>115</v>
      </c>
      <c r="F3" s="115"/>
      <c r="G3" s="147"/>
      <c r="J3" s="213"/>
    </row>
    <row r="4" spans="1:11" ht="4.95" customHeight="1" thickBot="1">
      <c r="A4" s="253"/>
      <c r="B4" s="103"/>
      <c r="C4" s="25"/>
      <c r="D4" s="25"/>
      <c r="E4" s="25"/>
      <c r="F4" s="25"/>
      <c r="G4" s="71"/>
    </row>
    <row r="5" spans="1:11" s="116" customFormat="1" ht="19.8" customHeight="1" thickBot="1">
      <c r="A5" s="254"/>
      <c r="B5" s="118" t="s">
        <v>13</v>
      </c>
      <c r="C5" s="118" t="s">
        <v>12</v>
      </c>
      <c r="D5" s="119"/>
      <c r="E5" s="120" t="s">
        <v>90</v>
      </c>
      <c r="F5" s="121"/>
      <c r="G5" s="148"/>
      <c r="J5" s="213"/>
    </row>
    <row r="6" spans="1:11" s="116" customFormat="1" ht="19.8" customHeight="1">
      <c r="A6" s="117"/>
      <c r="B6" s="122" t="s">
        <v>0</v>
      </c>
      <c r="C6" s="218" t="s">
        <v>109</v>
      </c>
      <c r="D6" s="119"/>
      <c r="E6" s="119"/>
      <c r="F6" s="123"/>
      <c r="G6" s="149"/>
      <c r="J6" s="213"/>
    </row>
    <row r="7" spans="1:11" s="116" customFormat="1" ht="19.8" customHeight="1">
      <c r="A7" s="124" t="s">
        <v>85</v>
      </c>
      <c r="B7" s="125">
        <v>75</v>
      </c>
      <c r="C7" s="228">
        <f>CALCULATORS!G5</f>
        <v>0.6</v>
      </c>
      <c r="D7" s="215"/>
      <c r="E7" s="216"/>
      <c r="F7" s="123"/>
      <c r="G7" s="149"/>
      <c r="J7" s="159"/>
      <c r="K7" s="158"/>
    </row>
    <row r="8" spans="1:11" s="116" customFormat="1" ht="19.8" customHeight="1" thickBot="1">
      <c r="A8" s="124" t="s">
        <v>86</v>
      </c>
      <c r="B8" s="125">
        <v>75</v>
      </c>
      <c r="C8" s="229">
        <f>CALCULATORS!G5</f>
        <v>0.6</v>
      </c>
      <c r="D8" s="215"/>
      <c r="E8" s="216"/>
      <c r="F8" s="123"/>
      <c r="G8" s="149"/>
      <c r="J8" s="214">
        <f>J12-J14</f>
        <v>-21.31144449166095</v>
      </c>
      <c r="K8" s="159" t="s">
        <v>75</v>
      </c>
    </row>
    <row r="9" spans="1:11" ht="4.95" customHeight="1" thickBot="1">
      <c r="A9" s="110"/>
      <c r="B9" s="166"/>
      <c r="C9" s="109"/>
      <c r="D9" s="217"/>
      <c r="E9" s="76"/>
      <c r="F9" s="76"/>
      <c r="G9" s="80"/>
      <c r="J9" s="159"/>
      <c r="K9" s="159"/>
    </row>
    <row r="10" spans="1:11" s="116" customFormat="1" ht="19.8" customHeight="1">
      <c r="A10" s="126" t="s">
        <v>101</v>
      </c>
      <c r="B10" s="127">
        <v>2</v>
      </c>
      <c r="C10" s="246">
        <f>CALCULATORS!G9</f>
        <v>1.125</v>
      </c>
      <c r="D10" s="215"/>
      <c r="E10" s="216"/>
      <c r="F10" s="144" t="s">
        <v>106</v>
      </c>
      <c r="G10" s="255" t="s">
        <v>108</v>
      </c>
      <c r="J10" s="159"/>
      <c r="K10" s="159" t="s">
        <v>74</v>
      </c>
    </row>
    <row r="11" spans="1:11" s="116" customFormat="1" ht="19.8" customHeight="1">
      <c r="A11" s="126" t="s">
        <v>102</v>
      </c>
      <c r="B11" s="125">
        <v>0</v>
      </c>
      <c r="C11" s="247">
        <f>CALCULATORS!G9</f>
        <v>1.125</v>
      </c>
      <c r="D11" s="215"/>
      <c r="E11" s="216"/>
      <c r="F11" s="145" t="s">
        <v>107</v>
      </c>
      <c r="G11" s="256"/>
      <c r="J11" s="159"/>
      <c r="K11" s="159" t="s">
        <v>76</v>
      </c>
    </row>
    <row r="12" spans="1:11" s="116" customFormat="1" ht="19.8" customHeight="1" thickBot="1">
      <c r="A12" s="128" t="s">
        <v>48</v>
      </c>
      <c r="B12" s="129">
        <f>B11+B10</f>
        <v>2</v>
      </c>
      <c r="C12" s="219"/>
      <c r="D12" s="257" t="str">
        <f>IF(B12&gt;J12,"BAGGAGE OVERLOAD, kg:","")</f>
        <v/>
      </c>
      <c r="E12" s="258"/>
      <c r="F12" s="259"/>
      <c r="G12" s="150">
        <f>B12-J12</f>
        <v>-558.68855550833905</v>
      </c>
      <c r="J12" s="214">
        <f>CALCULATORS!D19</f>
        <v>560.68855550833905</v>
      </c>
      <c r="K12" s="159" t="s">
        <v>77</v>
      </c>
    </row>
    <row r="13" spans="1:11" ht="4.95" customHeight="1" thickBot="1">
      <c r="A13" s="73"/>
      <c r="B13" s="81"/>
      <c r="C13" s="80"/>
      <c r="D13" s="74"/>
      <c r="E13" s="75"/>
      <c r="F13" s="75"/>
      <c r="G13" s="151"/>
    </row>
    <row r="14" spans="1:11" s="116" customFormat="1" ht="19.8" customHeight="1">
      <c r="A14" s="130"/>
      <c r="B14" s="131" t="s">
        <v>19</v>
      </c>
      <c r="C14" s="132"/>
      <c r="D14" s="260" t="s">
        <v>84</v>
      </c>
      <c r="E14" s="261"/>
      <c r="F14" s="133">
        <v>16</v>
      </c>
      <c r="G14" s="152" t="s">
        <v>105</v>
      </c>
      <c r="J14" s="213">
        <f>LIMITATIONS!D12</f>
        <v>582</v>
      </c>
    </row>
    <row r="15" spans="1:11" s="116" customFormat="1" ht="19.8" customHeight="1" thickBot="1">
      <c r="A15" s="124" t="s">
        <v>112</v>
      </c>
      <c r="B15" s="134">
        <v>65</v>
      </c>
      <c r="C15" s="135"/>
      <c r="D15" s="119"/>
      <c r="E15" s="221">
        <f>CALCULATORS!B16/F14</f>
        <v>3.8125</v>
      </c>
      <c r="F15" s="220" t="s">
        <v>49</v>
      </c>
      <c r="G15" s="149"/>
      <c r="J15" s="213">
        <f>LIMITATIONS!G25</f>
        <v>10</v>
      </c>
    </row>
    <row r="16" spans="1:11" s="116" customFormat="1" ht="31.8" customHeight="1" thickBot="1">
      <c r="A16" s="136" t="str">
        <f>IF(J8&gt;0,"OVERLOAD @ Take Off","Extra available Take Off loading")</f>
        <v>Extra available Take Off loading</v>
      </c>
      <c r="B16" s="137">
        <f>ABS((J12-J14))</f>
        <v>21.31144449166095</v>
      </c>
      <c r="C16" s="138" t="str">
        <f>IF(B16&gt;0,"kg","")</f>
        <v>kg</v>
      </c>
      <c r="D16" s="262" t="s">
        <v>87</v>
      </c>
      <c r="E16" s="263"/>
      <c r="F16" s="263"/>
      <c r="G16" s="264"/>
      <c r="J16" s="213">
        <f>LIMITATIONS!G26</f>
        <v>20</v>
      </c>
    </row>
    <row r="17" spans="1:10" ht="4.95" customHeight="1" thickBot="1">
      <c r="A17" s="77"/>
      <c r="B17" s="82"/>
      <c r="C17" s="79"/>
      <c r="D17" s="108"/>
      <c r="E17" s="108"/>
      <c r="F17" s="108"/>
      <c r="G17" s="153"/>
    </row>
    <row r="18" spans="1:10" s="116" customFormat="1" ht="25.95" customHeight="1">
      <c r="A18" s="139"/>
      <c r="B18" s="140" t="s">
        <v>19</v>
      </c>
      <c r="C18" s="231"/>
      <c r="D18" s="233"/>
      <c r="E18" s="234"/>
      <c r="F18" s="234"/>
      <c r="G18" s="235"/>
      <c r="J18" s="213"/>
    </row>
    <row r="19" spans="1:10" s="116" customFormat="1" ht="25.95" customHeight="1" thickBot="1">
      <c r="A19" s="141" t="s">
        <v>71</v>
      </c>
      <c r="B19" s="142">
        <v>16</v>
      </c>
      <c r="C19" s="232"/>
      <c r="D19" s="236"/>
      <c r="E19" s="143"/>
      <c r="F19" s="143"/>
      <c r="G19" s="154"/>
      <c r="J19" s="213"/>
    </row>
    <row r="20" spans="1:10" s="116" customFormat="1" ht="25.95" customHeight="1" thickBot="1">
      <c r="A20" s="155" t="s">
        <v>72</v>
      </c>
      <c r="B20" s="167">
        <f>CALCULATORS!$D$22</f>
        <v>549.22926226025015</v>
      </c>
      <c r="C20" s="230" t="s">
        <v>0</v>
      </c>
      <c r="D20" s="237"/>
      <c r="E20" s="156"/>
      <c r="F20" s="156"/>
      <c r="G20" s="157"/>
      <c r="J20" s="213"/>
    </row>
    <row r="22" spans="1:10" ht="9" customHeight="1">
      <c r="A22" s="40"/>
      <c r="B22" s="40"/>
      <c r="C22" s="25"/>
      <c r="D22" s="25"/>
      <c r="E22" s="25"/>
      <c r="F22" s="25"/>
      <c r="G22" s="25"/>
    </row>
    <row r="23" spans="1:10" ht="214.2" customHeight="1">
      <c r="A23" s="111"/>
      <c r="B23" s="40"/>
      <c r="C23" s="25"/>
      <c r="D23" s="25"/>
      <c r="E23" s="251" t="s">
        <v>88</v>
      </c>
      <c r="F23" s="251"/>
      <c r="G23" s="251"/>
    </row>
    <row r="24" spans="1:10" ht="20.399999999999999">
      <c r="A24" s="40"/>
      <c r="B24" s="40"/>
      <c r="C24" s="25"/>
      <c r="D24" s="25"/>
      <c r="E24" s="25"/>
      <c r="F24" s="25"/>
      <c r="G24" s="25"/>
    </row>
    <row r="25" spans="1:10" ht="97.95" customHeight="1"/>
    <row r="26" spans="1:10" ht="20.399999999999999">
      <c r="A26" s="40"/>
      <c r="B26" s="40"/>
      <c r="C26" s="25"/>
      <c r="D26" s="25"/>
      <c r="E26" s="25"/>
      <c r="F26" s="25"/>
      <c r="G26" s="25"/>
    </row>
    <row r="27" spans="1:10" ht="20.399999999999999">
      <c r="A27" s="40"/>
      <c r="B27" s="40"/>
      <c r="C27" s="25"/>
      <c r="D27" s="25"/>
      <c r="E27" s="25"/>
      <c r="F27" s="25"/>
      <c r="G27" s="25"/>
    </row>
    <row r="28" spans="1:10" ht="20.399999999999999">
      <c r="A28" s="40"/>
      <c r="B28" s="40"/>
      <c r="C28" s="25"/>
      <c r="D28" s="25"/>
      <c r="E28" s="25"/>
      <c r="F28" s="25"/>
      <c r="G28" s="25"/>
    </row>
    <row r="29" spans="1:10" ht="20.399999999999999">
      <c r="A29" s="40"/>
      <c r="B29" s="40"/>
      <c r="C29" s="25"/>
      <c r="D29" s="25"/>
      <c r="E29" s="25"/>
      <c r="F29" s="25"/>
      <c r="G29" s="25"/>
    </row>
    <row r="30" spans="1:10" ht="20.399999999999999">
      <c r="A30" s="40"/>
      <c r="B30" s="40"/>
      <c r="C30" s="25"/>
      <c r="D30" s="25"/>
      <c r="E30" s="25"/>
      <c r="F30" s="25"/>
      <c r="G30" s="25"/>
    </row>
    <row r="31" spans="1:10" ht="20.399999999999999">
      <c r="A31" s="40"/>
      <c r="B31" s="40"/>
      <c r="C31" s="25"/>
      <c r="D31" s="25"/>
      <c r="E31" s="72"/>
      <c r="F31" s="72"/>
      <c r="G31" s="72"/>
    </row>
    <row r="32" spans="1:10">
      <c r="E32" s="52"/>
      <c r="F32" s="52"/>
      <c r="G32" s="52"/>
    </row>
    <row r="33" spans="5:7">
      <c r="E33" s="52"/>
      <c r="F33" s="52"/>
      <c r="G33" s="52"/>
    </row>
    <row r="34" spans="5:7">
      <c r="E34" s="52"/>
      <c r="F34" s="52"/>
      <c r="G34" s="52"/>
    </row>
    <row r="35" spans="5:7">
      <c r="E35" s="52"/>
      <c r="F35" s="52"/>
      <c r="G35" s="52"/>
    </row>
    <row r="36" spans="5:7">
      <c r="E36" s="52"/>
      <c r="F36" s="52"/>
      <c r="G36" s="52"/>
    </row>
    <row r="37" spans="5:7">
      <c r="E37" s="52"/>
      <c r="F37" s="52"/>
      <c r="G37" s="52"/>
    </row>
    <row r="38" spans="5:7">
      <c r="E38" s="52"/>
      <c r="F38" s="52"/>
      <c r="G38" s="52"/>
    </row>
    <row r="39" spans="5:7">
      <c r="E39" s="52"/>
      <c r="F39" s="52"/>
      <c r="G39" s="52"/>
    </row>
    <row r="40" spans="5:7">
      <c r="E40" s="52"/>
      <c r="F40" s="52"/>
      <c r="G40" s="52"/>
    </row>
    <row r="41" spans="5:7">
      <c r="E41" s="52"/>
      <c r="F41" s="52"/>
      <c r="G41" s="52"/>
    </row>
    <row r="42" spans="5:7">
      <c r="E42" s="52"/>
      <c r="F42" s="52"/>
      <c r="G42" s="52"/>
    </row>
    <row r="43" spans="5:7">
      <c r="E43" s="52"/>
      <c r="F43" s="52"/>
      <c r="G43" s="52"/>
    </row>
    <row r="44" spans="5:7">
      <c r="E44" s="52"/>
      <c r="F44" s="52"/>
      <c r="G44" s="52"/>
    </row>
    <row r="45" spans="5:7">
      <c r="E45" s="52"/>
      <c r="F45" s="52"/>
      <c r="G45" s="52"/>
    </row>
    <row r="46" spans="5:7">
      <c r="E46" s="52"/>
      <c r="F46" s="52"/>
      <c r="G46" s="52"/>
    </row>
    <row r="47" spans="5:7">
      <c r="E47" s="52"/>
      <c r="F47" s="52"/>
      <c r="G47" s="52"/>
    </row>
    <row r="48" spans="5:7">
      <c r="E48" s="52"/>
      <c r="F48" s="52"/>
      <c r="G48" s="52"/>
    </row>
    <row r="49" spans="5:7">
      <c r="E49" s="52"/>
      <c r="F49" s="52"/>
      <c r="G49" s="52"/>
    </row>
    <row r="50" spans="5:7">
      <c r="E50" s="52"/>
      <c r="F50" s="52"/>
      <c r="G50" s="52"/>
    </row>
    <row r="51" spans="5:7">
      <c r="E51" s="52"/>
      <c r="F51" s="52"/>
      <c r="G51" s="52"/>
    </row>
    <row r="52" spans="5:7">
      <c r="E52" s="52"/>
      <c r="F52" s="52"/>
      <c r="G52" s="52"/>
    </row>
    <row r="53" spans="5:7">
      <c r="E53" s="52"/>
      <c r="F53" s="52"/>
      <c r="G53" s="52"/>
    </row>
    <row r="54" spans="5:7">
      <c r="E54" s="52"/>
      <c r="F54" s="52"/>
      <c r="G54" s="52"/>
    </row>
    <row r="55" spans="5:7">
      <c r="E55" s="52"/>
      <c r="F55" s="52"/>
      <c r="G55" s="52"/>
    </row>
    <row r="56" spans="5:7">
      <c r="E56" s="52"/>
      <c r="F56" s="52"/>
      <c r="G56" s="52"/>
    </row>
    <row r="57" spans="5:7">
      <c r="E57" s="52"/>
      <c r="F57" s="52"/>
      <c r="G57" s="52"/>
    </row>
    <row r="58" spans="5:7">
      <c r="E58" s="52"/>
      <c r="F58" s="52"/>
      <c r="G58" s="52"/>
    </row>
    <row r="59" spans="5:7">
      <c r="E59" s="52"/>
      <c r="F59" s="52"/>
      <c r="G59" s="52"/>
    </row>
  </sheetData>
  <sheetProtection algorithmName="SHA-512" hashValue="dDztNR9JAhI1k8l0CVNt7g5bHto/ZAwKu/DY1GOltRmCYStJFp+KzVRYNxpfOPezkrJWSNw2B4yMWOaPOGoWRw==" saltValue="LJ42827EjsmOeR+iE/K40w==" spinCount="100000" sheet="1" objects="1" scenarios="1" selectLockedCells="1"/>
  <mergeCells count="6">
    <mergeCell ref="E23:G23"/>
    <mergeCell ref="A3:A5"/>
    <mergeCell ref="G10:G11"/>
    <mergeCell ref="D12:F12"/>
    <mergeCell ref="D14:E14"/>
    <mergeCell ref="D16:G16"/>
  </mergeCells>
  <phoneticPr fontId="0" type="noConversion"/>
  <conditionalFormatting sqref="F70">
    <cfRule type="expression" dxfId="13" priority="41">
      <formula>F70&gt;$B$3</formula>
    </cfRule>
    <cfRule type="cellIs" dxfId="12" priority="42" operator="greaterThan">
      <formula>55</formula>
    </cfRule>
  </conditionalFormatting>
  <conditionalFormatting sqref="G12:G13">
    <cfRule type="cellIs" dxfId="11" priority="20" operator="greaterThan">
      <formula>0</formula>
    </cfRule>
    <cfRule type="cellIs" dxfId="10" priority="25" operator="greaterThan">
      <formula>0</formula>
    </cfRule>
  </conditionalFormatting>
  <conditionalFormatting sqref="A16:A18">
    <cfRule type="containsText" dxfId="9" priority="15" operator="containsText" text="OVERLOAD @ Take Off">
      <formula>NOT(ISERROR(SEARCH("OVERLOAD @ Take Off",A16)))</formula>
    </cfRule>
    <cfRule type="containsText" dxfId="8" priority="22" operator="containsText" text="OVERLOAD @ TO">
      <formula>NOT(ISERROR(SEARCH("OVERLOAD @ TO",A16)))</formula>
    </cfRule>
    <cfRule type="containsText" dxfId="7" priority="24" operator="containsText" text="OVERLOAD @ TO">
      <formula>NOT(ISERROR(SEARCH("OVERLOAD @ TO",A16)))</formula>
    </cfRule>
  </conditionalFormatting>
  <conditionalFormatting sqref="D12:D13">
    <cfRule type="containsText" dxfId="6" priority="19" operator="containsText" text="BAGGAGE OVERLOAD">
      <formula>NOT(ISERROR(SEARCH("BAGGAGE OVERLOAD",D12)))</formula>
    </cfRule>
  </conditionalFormatting>
  <conditionalFormatting sqref="C17:C18">
    <cfRule type="containsText" dxfId="5" priority="17" operator="containsText" text="kg">
      <formula>NOT(ISERROR(SEARCH("kg",C17)))</formula>
    </cfRule>
  </conditionalFormatting>
  <conditionalFormatting sqref="B11">
    <cfRule type="cellIs" dxfId="4" priority="52" operator="greaterThan">
      <formula>$J$15</formula>
    </cfRule>
  </conditionalFormatting>
  <conditionalFormatting sqref="B12:B13">
    <cfRule type="cellIs" dxfId="3" priority="58" operator="greaterThan">
      <formula>$J$12</formula>
    </cfRule>
  </conditionalFormatting>
  <conditionalFormatting sqref="B10">
    <cfRule type="cellIs" dxfId="2" priority="59" operator="greaterThan">
      <formula>$J$16</formula>
    </cfRule>
  </conditionalFormatting>
  <conditionalFormatting sqref="B16">
    <cfRule type="expression" dxfId="1" priority="10">
      <formula>$J$12&lt;$J$14</formula>
    </cfRule>
    <cfRule type="expression" dxfId="0" priority="11">
      <formula>$J$12&gt;$J$14</formula>
    </cfRule>
  </conditionalFormatting>
  <pageMargins left="0.75000000000000011" right="0.75000000000000011" top="1" bottom="1" header="0.5" footer="0.5"/>
  <pageSetup paperSize="9" scale="68" orientation="portrait" horizontalDpi="4294967292" verticalDpi="4294967292" r:id="rId1"/>
  <headerFooter>
    <oddFooter>&amp;L&amp;K000000W&amp;"Arial,Vet", PH-STW&amp;C&amp;K00000011-05-2016 V5&amp;R&amp;K000000HvO</oddFooter>
  </headerFooter>
  <drawing r:id="rId2"/>
  <extLst>
    <ext xmlns:mx="http://schemas.microsoft.com/office/mac/excel/2008/main" uri="{64002731-A6B0-56B0-2670-7721B7C09600}">
      <mx:PLV Mode="0" OnePage="0" WScale="5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DG85"/>
  <sheetViews>
    <sheetView zoomScaleNormal="100" workbookViewId="0">
      <selection activeCell="B31" sqref="B31"/>
    </sheetView>
  </sheetViews>
  <sheetFormatPr defaultColWidth="11.5546875" defaultRowHeight="13.2"/>
  <cols>
    <col min="1" max="1" width="25.6640625" customWidth="1"/>
    <col min="2" max="2" width="19.6640625" customWidth="1"/>
    <col min="10" max="10" width="14.77734375" customWidth="1"/>
    <col min="11" max="11" width="17.77734375" customWidth="1"/>
    <col min="12" max="12" width="16.6640625" style="2" customWidth="1"/>
  </cols>
  <sheetData>
    <row r="1" spans="1:28" s="12" customFormat="1" ht="21" customHeight="1" thickBot="1">
      <c r="A1" s="44" t="s">
        <v>51</v>
      </c>
      <c r="L1" s="19"/>
      <c r="P1" s="13"/>
    </row>
    <row r="2" spans="1:28" s="4" customFormat="1" ht="18" thickBot="1">
      <c r="A2" s="26"/>
      <c r="B2" s="15"/>
      <c r="C2" s="15"/>
      <c r="D2" s="267" t="s">
        <v>13</v>
      </c>
      <c r="E2" s="268"/>
      <c r="F2" s="15"/>
      <c r="G2" s="14" t="s">
        <v>12</v>
      </c>
      <c r="H2" s="15"/>
      <c r="I2" s="14" t="s">
        <v>15</v>
      </c>
      <c r="L2" s="14" t="s">
        <v>15</v>
      </c>
      <c r="N2" s="45" t="s">
        <v>1</v>
      </c>
      <c r="O2" s="46">
        <v>0.4536</v>
      </c>
      <c r="P2" s="47" t="s">
        <v>0</v>
      </c>
    </row>
    <row r="3" spans="1:28" s="4" customFormat="1" ht="13.8" thickBot="1">
      <c r="A3" s="26"/>
      <c r="B3" s="15"/>
      <c r="C3" s="15"/>
      <c r="D3" s="38" t="s">
        <v>0</v>
      </c>
      <c r="E3" s="14" t="s">
        <v>1</v>
      </c>
      <c r="F3" s="15"/>
      <c r="G3" s="14" t="s">
        <v>94</v>
      </c>
      <c r="H3" s="15"/>
      <c r="I3" s="14" t="s">
        <v>100</v>
      </c>
      <c r="J3" s="10"/>
      <c r="K3" s="10"/>
      <c r="L3" s="56" t="s">
        <v>23</v>
      </c>
      <c r="N3" s="275" t="s">
        <v>116</v>
      </c>
      <c r="O3" s="276"/>
      <c r="P3" s="277"/>
    </row>
    <row r="4" spans="1:28" s="4" customFormat="1" ht="13.8" thickBot="1">
      <c r="A4" s="26" t="s">
        <v>18</v>
      </c>
      <c r="B4" s="15"/>
      <c r="C4" s="15"/>
      <c r="D4" s="206">
        <f>N5</f>
        <v>365</v>
      </c>
      <c r="E4" s="37">
        <f>D4*CALCULATORS!$B$48</f>
        <v>804.67900000000009</v>
      </c>
      <c r="F4" s="29"/>
      <c r="G4" s="204">
        <f>I4/D4</f>
        <v>0.253</v>
      </c>
      <c r="H4" s="29"/>
      <c r="I4" s="210">
        <f>O5</f>
        <v>92.344999999999999</v>
      </c>
      <c r="J4" s="30" t="s">
        <v>117</v>
      </c>
      <c r="K4" s="31"/>
      <c r="L4" s="36">
        <f>I4/1000</f>
        <v>9.2344999999999997E-2</v>
      </c>
      <c r="N4" s="20" t="s">
        <v>0</v>
      </c>
      <c r="O4" s="15" t="s">
        <v>100</v>
      </c>
      <c r="P4" s="48" t="s">
        <v>109</v>
      </c>
    </row>
    <row r="5" spans="1:28" s="4" customFormat="1" ht="13.8" thickBot="1">
      <c r="A5" s="26" t="s">
        <v>83</v>
      </c>
      <c r="B5" s="15"/>
      <c r="C5" s="15"/>
      <c r="D5" s="49">
        <f>VOORBLAD!B7</f>
        <v>75</v>
      </c>
      <c r="E5" s="49">
        <f>D5*CALCULATORS!$B$48</f>
        <v>165.345</v>
      </c>
      <c r="F5" s="32"/>
      <c r="G5" s="205">
        <f>LIMITATIONS!K6</f>
        <v>0.6</v>
      </c>
      <c r="H5" s="29"/>
      <c r="I5" s="36">
        <f>G5*D5</f>
        <v>45</v>
      </c>
      <c r="J5"/>
      <c r="L5" s="36">
        <f t="shared" ref="L5:L19" si="0">I5/1000</f>
        <v>4.4999999999999998E-2</v>
      </c>
      <c r="N5" s="50">
        <v>365</v>
      </c>
      <c r="O5" s="51">
        <v>92.344999999999999</v>
      </c>
      <c r="P5" s="54">
        <f>O5/N5</f>
        <v>0.253</v>
      </c>
    </row>
    <row r="6" spans="1:28" s="4" customFormat="1">
      <c r="A6" s="26" t="s">
        <v>91</v>
      </c>
      <c r="B6" s="15"/>
      <c r="C6" s="15"/>
      <c r="D6" s="49">
        <f>VOORBLAD!B8</f>
        <v>75</v>
      </c>
      <c r="E6" s="49">
        <f>D6*CALCULATORS!$B$48</f>
        <v>165.345</v>
      </c>
      <c r="F6" s="32"/>
      <c r="G6" s="205">
        <f>LIMITATIONS!K7</f>
        <v>0.6</v>
      </c>
      <c r="H6" s="29"/>
      <c r="I6" s="36">
        <f>G6*D6</f>
        <v>45</v>
      </c>
      <c r="J6"/>
      <c r="L6" s="36">
        <f t="shared" si="0"/>
        <v>4.4999999999999998E-2</v>
      </c>
      <c r="N6" s="20" t="s">
        <v>1</v>
      </c>
      <c r="O6" s="15" t="s">
        <v>44</v>
      </c>
      <c r="P6" s="48" t="s">
        <v>2</v>
      </c>
    </row>
    <row r="7" spans="1:28" s="4" customFormat="1" ht="13.8" thickBot="1">
      <c r="A7" s="26"/>
      <c r="B7" s="15"/>
      <c r="C7" s="15"/>
      <c r="D7" s="49"/>
      <c r="E7" s="49"/>
      <c r="F7" s="32"/>
      <c r="G7" s="205"/>
      <c r="H7" s="29"/>
      <c r="I7" s="36"/>
      <c r="J7"/>
      <c r="L7" s="36">
        <f t="shared" si="0"/>
        <v>0</v>
      </c>
      <c r="N7" s="21">
        <f>N5/E48</f>
        <v>804.67899999999997</v>
      </c>
      <c r="O7" s="22">
        <f>N7*P7</f>
        <v>80.151097244094487</v>
      </c>
      <c r="P7" s="24">
        <f>P5/B52</f>
        <v>9.960629921259842E-2</v>
      </c>
    </row>
    <row r="8" spans="1:28" s="4" customFormat="1">
      <c r="A8" s="26"/>
      <c r="B8" s="15"/>
      <c r="C8" s="15"/>
      <c r="D8" s="49"/>
      <c r="E8" s="49"/>
      <c r="F8" s="32"/>
      <c r="G8" s="205"/>
      <c r="H8" s="29"/>
      <c r="I8" s="36"/>
      <c r="J8"/>
      <c r="L8" s="36">
        <f t="shared" si="0"/>
        <v>0</v>
      </c>
      <c r="P8" s="5"/>
    </row>
    <row r="9" spans="1:28" s="4" customFormat="1">
      <c r="A9" s="26" t="s">
        <v>97</v>
      </c>
      <c r="B9" s="15"/>
      <c r="C9" s="15"/>
      <c r="D9" s="49">
        <f>VOORBLAD!B10</f>
        <v>2</v>
      </c>
      <c r="E9" s="49">
        <f>D9*CALCULATORS!$B$48</f>
        <v>4.4092000000000002</v>
      </c>
      <c r="F9" s="32"/>
      <c r="G9" s="205">
        <f>LIMITATIONS!K8</f>
        <v>1.125</v>
      </c>
      <c r="H9" s="29"/>
      <c r="I9" s="36">
        <f>G9*D9</f>
        <v>2.25</v>
      </c>
      <c r="J9"/>
      <c r="L9" s="36">
        <f t="shared" si="0"/>
        <v>2.2499999999999998E-3</v>
      </c>
      <c r="M9" s="31">
        <v>10</v>
      </c>
      <c r="N9" s="31" t="s">
        <v>16</v>
      </c>
      <c r="O9" s="281" t="s">
        <v>110</v>
      </c>
      <c r="P9" s="5"/>
    </row>
    <row r="10" spans="1:28" s="4" customFormat="1" ht="13.8" thickBot="1">
      <c r="A10" s="26" t="s">
        <v>98</v>
      </c>
      <c r="B10" s="15"/>
      <c r="C10" s="15"/>
      <c r="D10" s="49">
        <f>VOORBLAD!B11</f>
        <v>0</v>
      </c>
      <c r="E10" s="49">
        <f>D10*CALCULATORS!$B$48</f>
        <v>0</v>
      </c>
      <c r="F10" s="32"/>
      <c r="G10" s="205">
        <f>LIMITATIONS!K8</f>
        <v>1.125</v>
      </c>
      <c r="H10" s="29"/>
      <c r="I10" s="36">
        <f>G10*D10</f>
        <v>0</v>
      </c>
      <c r="J10"/>
      <c r="L10" s="36">
        <f t="shared" si="0"/>
        <v>0</v>
      </c>
      <c r="M10" s="31">
        <v>20</v>
      </c>
      <c r="N10" s="31" t="s">
        <v>16</v>
      </c>
      <c r="O10" s="282"/>
      <c r="P10" s="5"/>
    </row>
    <row r="11" spans="1:28" s="4" customFormat="1" ht="13.8" thickBot="1">
      <c r="A11" s="27" t="s">
        <v>14</v>
      </c>
      <c r="B11" s="15"/>
      <c r="C11" s="15"/>
      <c r="D11" s="93">
        <f>SUM(D4:D10)</f>
        <v>517</v>
      </c>
      <c r="E11" s="49">
        <f>D11*CALCULATORS!$B$48</f>
        <v>1139.7782</v>
      </c>
      <c r="F11" s="29"/>
      <c r="G11" s="93">
        <f>I11/D11</f>
        <v>0.35705029013539652</v>
      </c>
      <c r="H11" s="29"/>
      <c r="I11" s="36">
        <f>SUM(I4:I10)</f>
        <v>184.595</v>
      </c>
      <c r="J11" s="10"/>
      <c r="K11" s="10"/>
      <c r="L11" s="93">
        <f t="shared" si="0"/>
        <v>0.18459500000000001</v>
      </c>
      <c r="P11" s="5"/>
    </row>
    <row r="12" spans="1:28" s="4" customFormat="1">
      <c r="A12" s="26"/>
      <c r="B12" s="15"/>
      <c r="C12" s="15"/>
      <c r="D12" s="39"/>
      <c r="E12" s="39"/>
      <c r="F12" s="15"/>
      <c r="G12" s="39"/>
      <c r="H12" s="15"/>
      <c r="I12" s="39"/>
      <c r="L12" s="36"/>
      <c r="P12" s="5"/>
    </row>
    <row r="13" spans="1:28" s="4" customFormat="1">
      <c r="A13" s="26"/>
      <c r="B13" s="15" t="s">
        <v>19</v>
      </c>
      <c r="C13" s="15"/>
      <c r="D13" s="39"/>
      <c r="E13" s="39"/>
      <c r="F13" s="15"/>
      <c r="G13" s="39"/>
      <c r="H13" s="15"/>
      <c r="I13" s="39"/>
      <c r="L13" s="36"/>
      <c r="P13" s="5"/>
    </row>
    <row r="14" spans="1:28" s="4" customFormat="1">
      <c r="A14" s="26" t="s">
        <v>103</v>
      </c>
      <c r="B14" s="32">
        <f>VOORBLAD!B15</f>
        <v>65</v>
      </c>
      <c r="C14" s="32"/>
      <c r="D14" s="36">
        <f>E14/CALCULATORS!$B$48</f>
        <v>46.553378820361253</v>
      </c>
      <c r="E14" s="36">
        <f>B14*CALCULATORS!$C$44/$B$44</f>
        <v>102.63157894736842</v>
      </c>
      <c r="F14" s="15"/>
      <c r="G14" s="39">
        <f>LIMITATIONS!E32</f>
        <v>-0.25700000000000001</v>
      </c>
      <c r="H14" s="15"/>
      <c r="I14" s="39">
        <f>G14*D14</f>
        <v>-11.964218356832843</v>
      </c>
      <c r="L14" s="36">
        <f t="shared" si="0"/>
        <v>-1.1964218356832843E-2</v>
      </c>
      <c r="P14" s="5"/>
    </row>
    <row r="15" spans="1:28" s="4" customFormat="1">
      <c r="A15" s="26" t="s">
        <v>104</v>
      </c>
      <c r="B15" s="29">
        <v>4</v>
      </c>
      <c r="C15" s="32"/>
      <c r="D15" s="36">
        <f>E15/CALCULATORS!$B$48</f>
        <v>2.8648233120222311</v>
      </c>
      <c r="E15" s="36">
        <f>B15*CALCULATORS!$C$44/$B$44</f>
        <v>6.3157894736842106</v>
      </c>
      <c r="F15" s="15"/>
      <c r="G15" s="39">
        <f>LIMITATIONS!E32</f>
        <v>-0.25700000000000001</v>
      </c>
      <c r="H15" s="15"/>
      <c r="I15" s="39">
        <f>G15*D15</f>
        <v>-0.7362595911897134</v>
      </c>
      <c r="L15" s="36">
        <f t="shared" si="0"/>
        <v>-7.3625959118971335E-4</v>
      </c>
      <c r="P15" s="5"/>
      <c r="Z15" s="52"/>
      <c r="AA15" s="52"/>
      <c r="AB15" s="52"/>
    </row>
    <row r="16" spans="1:28" s="4" customFormat="1">
      <c r="A16" s="27" t="s">
        <v>20</v>
      </c>
      <c r="B16" s="29">
        <f>B14-B15</f>
        <v>61</v>
      </c>
      <c r="C16" s="29"/>
      <c r="D16" s="36">
        <f>D14-D15</f>
        <v>43.688555508339022</v>
      </c>
      <c r="E16" s="36">
        <f>E14-E15</f>
        <v>96.31578947368422</v>
      </c>
      <c r="F16" s="15"/>
      <c r="G16" s="39">
        <f>I16/E16</f>
        <v>-0.11657443527170462</v>
      </c>
      <c r="H16" s="15"/>
      <c r="I16" s="39">
        <f>I14-I15</f>
        <v>-11.22795876564313</v>
      </c>
      <c r="L16" s="36">
        <f t="shared" si="0"/>
        <v>-1.122795876564313E-2</v>
      </c>
      <c r="P16" s="5"/>
      <c r="Z16" s="52"/>
      <c r="AA16" s="52"/>
      <c r="AB16" s="52"/>
    </row>
    <row r="17" spans="1:111" s="4" customFormat="1">
      <c r="A17" s="26"/>
      <c r="B17" s="15"/>
      <c r="C17" s="15"/>
      <c r="D17" s="39"/>
      <c r="E17" s="39"/>
      <c r="F17" s="15"/>
      <c r="G17" s="39"/>
      <c r="H17" s="15"/>
      <c r="I17" s="39"/>
      <c r="L17" s="36"/>
      <c r="P17" s="5"/>
      <c r="Z17" s="52"/>
      <c r="AA17" s="52"/>
      <c r="AB17" s="52"/>
    </row>
    <row r="18" spans="1:111" s="4" customFormat="1" ht="13.8" thickBot="1">
      <c r="A18" s="20"/>
      <c r="B18" s="15"/>
      <c r="C18" s="15"/>
      <c r="D18" s="39"/>
      <c r="E18" s="39"/>
      <c r="F18" s="15"/>
      <c r="G18" s="39"/>
      <c r="H18" s="15"/>
      <c r="I18" s="39"/>
      <c r="L18" s="36"/>
      <c r="P18" s="5"/>
      <c r="Z18" s="52"/>
      <c r="AA18" s="52"/>
      <c r="AB18" s="52"/>
    </row>
    <row r="19" spans="1:111" s="4" customFormat="1" ht="13.8" thickBot="1">
      <c r="A19" s="27" t="s">
        <v>17</v>
      </c>
      <c r="B19" s="15"/>
      <c r="C19" s="15"/>
      <c r="D19" s="93">
        <f>D16+D11</f>
        <v>560.68855550833905</v>
      </c>
      <c r="E19" s="207">
        <f>E16+E11</f>
        <v>1236.0939894736841</v>
      </c>
      <c r="F19" s="29"/>
      <c r="G19" s="93">
        <f>I19/D19</f>
        <v>0.3092038165058969</v>
      </c>
      <c r="H19" s="29"/>
      <c r="I19" s="211">
        <f>I11+I16</f>
        <v>173.36704123435686</v>
      </c>
      <c r="L19" s="93">
        <f t="shared" si="0"/>
        <v>0.17336704123435687</v>
      </c>
      <c r="P19" s="5"/>
      <c r="Z19" s="52"/>
      <c r="AA19" s="52"/>
      <c r="AB19" s="52"/>
    </row>
    <row r="20" spans="1:111" s="4" customFormat="1" ht="13.8" thickBot="1">
      <c r="A20" s="27"/>
      <c r="B20" s="15"/>
      <c r="C20" s="15"/>
      <c r="D20" s="29"/>
      <c r="E20" s="29"/>
      <c r="F20" s="29"/>
      <c r="G20" s="55"/>
      <c r="H20" s="29"/>
      <c r="I20" s="29"/>
      <c r="L20" s="29"/>
      <c r="P20" s="5"/>
      <c r="Z20" s="52"/>
      <c r="AA20" s="52"/>
      <c r="AB20" s="52"/>
    </row>
    <row r="21" spans="1:111" s="4" customFormat="1" ht="13.8" thickBot="1">
      <c r="A21" s="27" t="s">
        <v>71</v>
      </c>
      <c r="B21" s="15">
        <f>VOORBLAD!$B$19</f>
        <v>16</v>
      </c>
      <c r="C21" s="15">
        <f>B21*B44</f>
        <v>60.8</v>
      </c>
      <c r="D21" s="29">
        <f>E21*E48</f>
        <v>11.459293248088924</v>
      </c>
      <c r="E21" s="29">
        <f>B21*C44/B44</f>
        <v>25.263157894736842</v>
      </c>
      <c r="F21" s="29"/>
      <c r="G21" s="209">
        <f>LIMITATIONS!E32</f>
        <v>-0.25700000000000001</v>
      </c>
      <c r="H21" s="29"/>
      <c r="I21" s="29">
        <f>G21*D21</f>
        <v>-2.9450383647588536</v>
      </c>
      <c r="L21" s="29">
        <f>I21/1000</f>
        <v>-2.9450383647588534E-3</v>
      </c>
      <c r="P21" s="5"/>
      <c r="Z21" s="52"/>
      <c r="AA21" s="52"/>
      <c r="AB21" s="52"/>
    </row>
    <row r="22" spans="1:111" s="4" customFormat="1" ht="13.8" thickBot="1">
      <c r="A22" s="27" t="s">
        <v>72</v>
      </c>
      <c r="B22" s="15"/>
      <c r="C22" s="15"/>
      <c r="D22" s="93">
        <f>D19-D21</f>
        <v>549.22926226025015</v>
      </c>
      <c r="E22" s="93">
        <f>E19-E21</f>
        <v>1210.8308315789473</v>
      </c>
      <c r="F22" s="29"/>
      <c r="G22" s="93">
        <f>I22/D22</f>
        <v>0.32101727222897114</v>
      </c>
      <c r="H22" s="29"/>
      <c r="I22" s="93">
        <f>I19-I21</f>
        <v>176.31207959911572</v>
      </c>
      <c r="K22" s="29"/>
      <c r="L22" s="93">
        <f>L19-L21</f>
        <v>0.17631207959911571</v>
      </c>
      <c r="P22" s="5"/>
      <c r="Z22" s="52"/>
      <c r="AA22" s="52"/>
      <c r="AB22" s="52"/>
    </row>
    <row r="23" spans="1:111" s="4" customFormat="1">
      <c r="A23" s="27"/>
      <c r="B23" s="15"/>
      <c r="C23" s="15"/>
      <c r="D23" s="29"/>
      <c r="E23" s="29"/>
      <c r="F23" s="29"/>
      <c r="G23" s="55"/>
      <c r="H23" s="29"/>
      <c r="I23" s="29"/>
      <c r="L23" s="29"/>
      <c r="P23" s="5"/>
      <c r="Z23" s="52"/>
      <c r="AA23" s="52"/>
      <c r="AB23" s="52"/>
    </row>
    <row r="24" spans="1:111" s="4" customFormat="1">
      <c r="A24" s="27" t="s">
        <v>73</v>
      </c>
      <c r="B24" s="15"/>
      <c r="C24" s="15"/>
      <c r="D24" s="67">
        <f>LIMITATIONS!H21-CALCULATORS!D19</f>
        <v>21.31144449166095</v>
      </c>
      <c r="E24" s="67">
        <f>LIMITATIONS!$F$21-CALCULATORS!$E$19</f>
        <v>-1236.0939894736841</v>
      </c>
      <c r="F24" s="29"/>
      <c r="G24" s="55"/>
      <c r="H24" s="29"/>
      <c r="I24" s="29"/>
      <c r="L24" s="29"/>
      <c r="P24" s="5"/>
      <c r="Z24" s="52"/>
      <c r="AA24" s="52"/>
      <c r="AB24" s="52"/>
    </row>
    <row r="25" spans="1:111" s="4" customFormat="1">
      <c r="A25" s="27" t="s">
        <v>80</v>
      </c>
      <c r="B25" s="15"/>
      <c r="C25" s="15"/>
      <c r="D25" s="29">
        <f>D19-LIMITATIONS!H21</f>
        <v>-21.31144449166095</v>
      </c>
      <c r="E25" s="29">
        <f>CALCULATORS!E19-LIMITATIONS!F21</f>
        <v>1236.0939894736841</v>
      </c>
      <c r="F25" s="29"/>
      <c r="G25" s="55"/>
      <c r="H25" s="29"/>
      <c r="I25" s="29"/>
      <c r="L25" s="29"/>
      <c r="P25" s="5"/>
      <c r="Z25" s="52"/>
      <c r="AA25" s="52"/>
      <c r="AB25" s="52"/>
    </row>
    <row r="26" spans="1:111" s="4" customFormat="1">
      <c r="A26" s="27"/>
      <c r="B26" s="15"/>
      <c r="C26" s="15"/>
      <c r="D26" s="29"/>
      <c r="E26" s="29"/>
      <c r="F26" s="29"/>
      <c r="G26" s="55"/>
      <c r="H26" s="29"/>
      <c r="I26" s="29"/>
      <c r="L26" s="29"/>
      <c r="P26" s="5"/>
      <c r="Z26" s="52"/>
      <c r="AA26" s="52"/>
      <c r="AB26" s="52"/>
    </row>
    <row r="27" spans="1:111" s="4" customFormat="1">
      <c r="A27" s="27"/>
      <c r="B27" s="15"/>
      <c r="C27" s="15"/>
      <c r="D27" s="29"/>
      <c r="E27" s="29"/>
      <c r="F27" s="29"/>
      <c r="G27" s="55"/>
      <c r="H27" s="29"/>
      <c r="I27" s="29"/>
      <c r="L27" s="29"/>
      <c r="P27" s="5"/>
      <c r="Z27" s="52"/>
      <c r="AA27" s="52"/>
      <c r="AB27" s="52"/>
    </row>
    <row r="28" spans="1:111" s="7" customFormat="1" ht="13.8" thickBot="1">
      <c r="A28" s="33"/>
      <c r="B28" s="22"/>
      <c r="C28" s="22"/>
      <c r="D28" s="34"/>
      <c r="E28" s="34"/>
      <c r="F28" s="34"/>
      <c r="G28" s="35"/>
      <c r="H28" s="34"/>
      <c r="I28" s="34"/>
      <c r="L28" s="34"/>
      <c r="P28" s="249"/>
      <c r="Q28" s="4"/>
      <c r="R28" s="4"/>
      <c r="S28" s="4"/>
      <c r="T28" s="4"/>
      <c r="U28" s="4"/>
      <c r="V28" s="4"/>
      <c r="W28" s="4"/>
      <c r="X28" s="4"/>
      <c r="Y28" s="4"/>
      <c r="Z28" s="52"/>
      <c r="AA28" s="52"/>
      <c r="AB28" s="52"/>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row>
    <row r="29" spans="1:111" ht="13.8" thickBot="1">
      <c r="P29" s="250"/>
      <c r="Q29" s="4"/>
      <c r="R29" s="4"/>
      <c r="S29" s="4"/>
      <c r="T29" s="4"/>
      <c r="U29" s="4"/>
      <c r="V29" s="4"/>
      <c r="W29" s="41"/>
      <c r="X29" s="4"/>
      <c r="Y29" s="15"/>
      <c r="Z29" s="53"/>
      <c r="AA29" s="278"/>
      <c r="AB29" s="278"/>
      <c r="AC29" s="15"/>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row>
    <row r="30" spans="1:111" s="12" customFormat="1" ht="20.399999999999999">
      <c r="A30" s="44" t="s">
        <v>52</v>
      </c>
      <c r="L30" s="19"/>
      <c r="P30" s="4"/>
      <c r="Q30" s="4"/>
      <c r="R30" s="4"/>
      <c r="S30" s="4"/>
      <c r="T30" s="4"/>
      <c r="U30" s="4"/>
      <c r="V30" s="4"/>
      <c r="W30" s="41"/>
      <c r="X30" s="4"/>
      <c r="Y30" s="15"/>
      <c r="Z30" s="53"/>
      <c r="AA30" s="53"/>
      <c r="AB30" s="53"/>
      <c r="AC30" s="15"/>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row>
    <row r="31" spans="1:111" s="4" customFormat="1">
      <c r="A31" s="3"/>
      <c r="L31" s="15"/>
      <c r="W31" s="41"/>
      <c r="Y31" s="15"/>
      <c r="Z31" s="53"/>
      <c r="AA31" s="85"/>
      <c r="AB31" s="32"/>
      <c r="AC31" s="29"/>
    </row>
    <row r="32" spans="1:111" s="4" customFormat="1" ht="13.05" customHeight="1" thickBot="1">
      <c r="A32" s="3"/>
      <c r="L32" s="15"/>
      <c r="W32" s="41"/>
      <c r="Y32" s="15"/>
      <c r="Z32" s="53"/>
      <c r="AA32" s="32"/>
      <c r="AB32" s="32"/>
      <c r="AC32" s="29"/>
    </row>
    <row r="33" spans="1:29" s="4" customFormat="1" ht="24" customHeight="1" thickBot="1">
      <c r="A33" s="269" t="s">
        <v>79</v>
      </c>
      <c r="B33" s="270"/>
      <c r="C33" s="11"/>
      <c r="D33" s="13"/>
      <c r="E33" s="265" t="s">
        <v>25</v>
      </c>
      <c r="F33" s="266"/>
      <c r="L33" s="15"/>
      <c r="W33" s="41"/>
      <c r="Y33" s="15"/>
      <c r="Z33" s="53"/>
      <c r="AA33" s="32"/>
      <c r="AB33" s="32"/>
      <c r="AC33" s="29"/>
    </row>
    <row r="34" spans="1:29" s="4" customFormat="1" ht="30.6" customHeight="1" thickBot="1">
      <c r="A34" s="58" t="s">
        <v>0</v>
      </c>
      <c r="B34" s="212" t="s">
        <v>111</v>
      </c>
      <c r="C34" s="6"/>
      <c r="D34" s="8"/>
      <c r="E34" s="57" t="s">
        <v>0</v>
      </c>
      <c r="F34" s="28" t="s">
        <v>94</v>
      </c>
      <c r="L34" s="15"/>
      <c r="W34" s="41"/>
      <c r="Y34" s="15"/>
      <c r="Z34" s="53"/>
      <c r="AA34" s="32"/>
      <c r="AB34" s="32"/>
      <c r="AC34" s="29"/>
    </row>
    <row r="35" spans="1:29" s="4" customFormat="1" ht="24" customHeight="1" thickBot="1">
      <c r="A35" s="91">
        <f>CALCULATORS!D11</f>
        <v>517</v>
      </c>
      <c r="B35" s="92">
        <f>CALCULATORS!G11*A35</f>
        <v>184.595</v>
      </c>
      <c r="C35" s="11"/>
      <c r="D35" s="273" t="s">
        <v>78</v>
      </c>
      <c r="E35" s="65">
        <f>CALCULATORS!D11</f>
        <v>517</v>
      </c>
      <c r="F35" s="66">
        <f>CALCULATORS!G11</f>
        <v>0.35705029013539652</v>
      </c>
      <c r="L35" s="15"/>
      <c r="W35" s="41"/>
      <c r="Y35" s="15"/>
      <c r="Z35" s="53"/>
      <c r="AA35" s="32"/>
      <c r="AB35" s="32"/>
      <c r="AC35" s="29"/>
    </row>
    <row r="36" spans="1:29" s="4" customFormat="1" ht="24" customHeight="1" thickBot="1">
      <c r="A36" s="59">
        <f>D22</f>
        <v>549.22926226025015</v>
      </c>
      <c r="B36" s="61">
        <f>G22*A36</f>
        <v>176.31207959911572</v>
      </c>
      <c r="C36" s="271" t="s">
        <v>81</v>
      </c>
      <c r="D36" s="274"/>
      <c r="E36" s="16">
        <f>D22</f>
        <v>549.22926226025015</v>
      </c>
      <c r="F36" s="63">
        <f>G22</f>
        <v>0.32101727222897114</v>
      </c>
      <c r="L36" s="15"/>
      <c r="W36" s="41"/>
      <c r="Y36" s="15"/>
      <c r="Z36" s="53"/>
      <c r="AA36" s="32"/>
      <c r="AB36" s="32"/>
      <c r="AC36" s="29"/>
    </row>
    <row r="37" spans="1:29" s="4" customFormat="1" ht="24" customHeight="1" thickBot="1">
      <c r="A37" s="60">
        <f>CALCULATORS!D19</f>
        <v>560.68855550833905</v>
      </c>
      <c r="B37" s="62">
        <f>CALCULATORS!G19*A37</f>
        <v>173.36704123435686</v>
      </c>
      <c r="C37" s="272"/>
      <c r="D37" s="8"/>
      <c r="E37" s="17">
        <f>CALCULATORS!D19</f>
        <v>560.68855550833905</v>
      </c>
      <c r="F37" s="64">
        <f>CALCULATORS!G19</f>
        <v>0.3092038165058969</v>
      </c>
      <c r="L37" s="15"/>
      <c r="W37" s="41"/>
      <c r="Y37" s="15"/>
      <c r="Z37" s="53"/>
      <c r="AA37" s="32"/>
      <c r="AB37" s="32"/>
      <c r="AC37" s="29"/>
    </row>
    <row r="38" spans="1:29" s="4" customFormat="1">
      <c r="A38" s="83"/>
      <c r="B38" s="83"/>
      <c r="L38" s="15"/>
      <c r="W38" s="41"/>
      <c r="Y38" s="15"/>
      <c r="Z38" s="53"/>
      <c r="AA38" s="32"/>
      <c r="AB38" s="32"/>
      <c r="AC38" s="29"/>
    </row>
    <row r="39" spans="1:29" s="4" customFormat="1" ht="13.8" thickBot="1">
      <c r="L39" s="15"/>
      <c r="W39" s="41"/>
      <c r="Y39" s="15"/>
      <c r="Z39" s="53"/>
      <c r="AA39" s="32"/>
      <c r="AB39" s="32"/>
      <c r="AC39" s="29"/>
    </row>
    <row r="40" spans="1:29" s="68" customFormat="1" ht="13.8" thickBot="1">
      <c r="A40" s="9"/>
      <c r="L40" s="69"/>
      <c r="W40" s="87"/>
      <c r="Y40" s="69"/>
      <c r="Z40" s="88"/>
      <c r="AA40" s="89"/>
      <c r="AB40" s="89"/>
      <c r="AC40" s="90"/>
    </row>
    <row r="41" spans="1:29" s="4" customFormat="1" ht="20.399999999999999">
      <c r="A41" s="86" t="s">
        <v>53</v>
      </c>
      <c r="L41" s="15"/>
      <c r="W41" s="41"/>
      <c r="Y41" s="15"/>
      <c r="Z41" s="53"/>
      <c r="AA41" s="53"/>
      <c r="AB41" s="53"/>
      <c r="AC41" s="15"/>
    </row>
    <row r="42" spans="1:29" s="4" customFormat="1" ht="13.8" thickBot="1">
      <c r="A42" s="3"/>
      <c r="L42" s="15"/>
      <c r="W42" s="41"/>
      <c r="Y42" s="15"/>
      <c r="Z42" s="53"/>
      <c r="AA42" s="53"/>
      <c r="AB42" s="53"/>
      <c r="AC42" s="15"/>
    </row>
    <row r="43" spans="1:29" s="4" customFormat="1">
      <c r="A43" s="18" t="s">
        <v>8</v>
      </c>
      <c r="B43" s="19" t="s">
        <v>9</v>
      </c>
      <c r="C43" s="23" t="s">
        <v>10</v>
      </c>
      <c r="L43" s="15"/>
      <c r="W43" s="41"/>
      <c r="Y43" s="32"/>
      <c r="Z43" s="32"/>
      <c r="AA43" s="32"/>
      <c r="AB43" s="32"/>
      <c r="AC43" s="15"/>
    </row>
    <row r="44" spans="1:29" s="4" customFormat="1" ht="13.8" thickBot="1">
      <c r="A44" s="21">
        <v>1</v>
      </c>
      <c r="B44" s="22">
        <v>3.8</v>
      </c>
      <c r="C44" s="24">
        <f>A44*6</f>
        <v>6</v>
      </c>
      <c r="L44" s="15"/>
      <c r="W44" s="41"/>
      <c r="Y44" s="29"/>
      <c r="Z44" s="32"/>
      <c r="AA44" s="32"/>
      <c r="AB44" s="32"/>
      <c r="AC44" s="15"/>
    </row>
    <row r="45" spans="1:29" s="4" customFormat="1">
      <c r="A45" s="3"/>
      <c r="L45" s="15"/>
      <c r="W45" s="42"/>
      <c r="Y45" s="29"/>
      <c r="Z45" s="29"/>
      <c r="AA45" s="29"/>
      <c r="AB45" s="29"/>
      <c r="AC45" s="15"/>
    </row>
    <row r="46" spans="1:29" s="4" customFormat="1" ht="13.8" thickBot="1">
      <c r="A46" s="3"/>
      <c r="L46" s="15"/>
      <c r="W46" s="41"/>
      <c r="Y46" s="15"/>
      <c r="Z46" s="15"/>
      <c r="AA46" s="15"/>
      <c r="AB46" s="15"/>
      <c r="AC46" s="15"/>
    </row>
    <row r="47" spans="1:29" s="4" customFormat="1">
      <c r="A47" s="18" t="s">
        <v>11</v>
      </c>
      <c r="B47" s="23" t="s">
        <v>10</v>
      </c>
      <c r="D47" s="18" t="s">
        <v>47</v>
      </c>
      <c r="E47" s="23" t="s">
        <v>0</v>
      </c>
      <c r="L47" s="15"/>
      <c r="W47" s="15"/>
      <c r="Y47" s="15"/>
      <c r="Z47" s="15"/>
      <c r="AA47" s="15"/>
      <c r="AB47" s="15"/>
      <c r="AC47" s="15"/>
    </row>
    <row r="48" spans="1:29" s="4" customFormat="1" ht="13.8" thickBot="1">
      <c r="A48" s="21">
        <v>1</v>
      </c>
      <c r="B48" s="24">
        <v>2.2046000000000001</v>
      </c>
      <c r="D48" s="21">
        <v>1</v>
      </c>
      <c r="E48" s="24">
        <f>A48/B48</f>
        <v>0.4535970244035199</v>
      </c>
      <c r="L48" s="15"/>
      <c r="W48" s="42"/>
      <c r="Y48" s="15"/>
      <c r="Z48" s="15"/>
      <c r="AA48" s="29"/>
      <c r="AB48" s="29"/>
      <c r="AC48" s="29"/>
    </row>
    <row r="49" spans="1:111" s="4" customFormat="1">
      <c r="A49" s="3"/>
      <c r="L49" s="15"/>
      <c r="W49" s="42"/>
      <c r="Y49" s="15"/>
      <c r="Z49" s="15"/>
      <c r="AA49" s="29"/>
      <c r="AB49" s="29"/>
      <c r="AC49" s="29"/>
    </row>
    <row r="50" spans="1:111" s="4" customFormat="1" ht="13.8" thickBot="1">
      <c r="A50" s="3"/>
      <c r="L50" s="15"/>
    </row>
    <row r="51" spans="1:111" s="4" customFormat="1">
      <c r="A51" s="18" t="s">
        <v>2</v>
      </c>
      <c r="B51" s="23" t="s">
        <v>26</v>
      </c>
      <c r="L51" s="15"/>
    </row>
    <row r="52" spans="1:111" s="4" customFormat="1" ht="13.8" thickBot="1">
      <c r="A52" s="21">
        <v>1</v>
      </c>
      <c r="B52" s="24">
        <v>2.54</v>
      </c>
      <c r="L52" s="15"/>
    </row>
    <row r="53" spans="1:111" s="4" customFormat="1">
      <c r="A53" s="3"/>
      <c r="L53" s="15"/>
      <c r="X53" s="279"/>
      <c r="Y53" s="279"/>
      <c r="AA53" s="280"/>
      <c r="AB53" s="280"/>
    </row>
    <row r="54" spans="1:111" s="4" customFormat="1">
      <c r="A54" s="3"/>
      <c r="L54" s="15"/>
      <c r="X54" s="83"/>
      <c r="Y54" s="83"/>
      <c r="AA54" s="83"/>
      <c r="AB54" s="83"/>
    </row>
    <row r="55" spans="1:111" s="4" customFormat="1">
      <c r="L55" s="15"/>
      <c r="X55" s="83"/>
      <c r="Y55" s="83"/>
      <c r="AA55" s="83"/>
      <c r="AB55" s="83"/>
    </row>
    <row r="56" spans="1:111" s="4" customFormat="1">
      <c r="L56" s="15"/>
    </row>
    <row r="57" spans="1:111" s="4" customFormat="1">
      <c r="L57" s="15"/>
    </row>
    <row r="58" spans="1:111" s="4" customFormat="1">
      <c r="L58" s="15"/>
    </row>
    <row r="59" spans="1:111" s="4" customFormat="1">
      <c r="L59" s="15"/>
    </row>
    <row r="60" spans="1:111" s="4" customFormat="1">
      <c r="L60" s="15"/>
      <c r="X60" s="10"/>
      <c r="Y60" s="10"/>
      <c r="Z60" s="10"/>
    </row>
    <row r="61" spans="1:111" s="7" customFormat="1" ht="13.8" thickBot="1">
      <c r="A61" s="6"/>
      <c r="L61" s="22"/>
      <c r="R61" s="4"/>
      <c r="S61" s="4"/>
      <c r="T61" s="4"/>
      <c r="U61" s="4"/>
      <c r="V61" s="4"/>
      <c r="W61" s="4"/>
      <c r="X61" s="10"/>
      <c r="Y61" s="10"/>
      <c r="Z61" s="10"/>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row>
    <row r="62" spans="1:111" ht="13.8" thickBot="1">
      <c r="R62" s="4"/>
      <c r="S62" s="4"/>
      <c r="T62" s="4"/>
      <c r="U62" s="4"/>
      <c r="V62" s="4"/>
      <c r="W62" s="4"/>
      <c r="X62" s="10"/>
      <c r="Y62" s="10"/>
      <c r="Z62" s="10"/>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row>
    <row r="63" spans="1:111" s="12" customFormat="1">
      <c r="A63"/>
      <c r="B63"/>
      <c r="C63"/>
      <c r="D63"/>
      <c r="E63"/>
      <c r="F63"/>
      <c r="G63"/>
      <c r="H63"/>
      <c r="I63"/>
      <c r="J63" s="4"/>
      <c r="K63" s="4"/>
      <c r="L63" s="4"/>
      <c r="M63" s="10"/>
      <c r="N63" s="10"/>
      <c r="O63" s="10"/>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11" s="4" customFormat="1">
      <c r="A64"/>
      <c r="B64"/>
      <c r="C64"/>
      <c r="D64"/>
      <c r="E64"/>
      <c r="F64"/>
      <c r="G64"/>
      <c r="H64"/>
      <c r="I64"/>
      <c r="M64" s="10"/>
      <c r="N64" s="10"/>
      <c r="O64" s="10"/>
    </row>
    <row r="65" spans="1:111" s="4" customFormat="1">
      <c r="A65"/>
      <c r="B65"/>
      <c r="C65"/>
      <c r="D65"/>
      <c r="E65"/>
      <c r="F65"/>
      <c r="G65"/>
      <c r="H65"/>
      <c r="I65"/>
      <c r="M65" s="15"/>
      <c r="N65" s="15"/>
      <c r="O65" s="10"/>
    </row>
    <row r="66" spans="1:111" s="4" customFormat="1">
      <c r="A66"/>
      <c r="B66"/>
      <c r="C66"/>
      <c r="D66"/>
      <c r="E66"/>
      <c r="F66"/>
      <c r="G66"/>
      <c r="H66"/>
      <c r="I66"/>
      <c r="M66" s="15"/>
      <c r="N66" s="15"/>
      <c r="O66" s="10"/>
    </row>
    <row r="67" spans="1:111" s="4" customFormat="1">
      <c r="A67"/>
      <c r="B67"/>
      <c r="C67"/>
      <c r="D67"/>
      <c r="E67"/>
      <c r="F67"/>
      <c r="G67"/>
      <c r="H67"/>
      <c r="I67"/>
    </row>
    <row r="68" spans="1:111" s="4" customFormat="1">
      <c r="A68"/>
      <c r="B68"/>
      <c r="C68"/>
      <c r="D68"/>
      <c r="E68"/>
      <c r="F68"/>
      <c r="G68"/>
      <c r="H68"/>
      <c r="I68"/>
    </row>
    <row r="69" spans="1:111" s="4" customFormat="1">
      <c r="A69"/>
      <c r="B69"/>
      <c r="C69"/>
      <c r="D69"/>
      <c r="E69"/>
      <c r="F69"/>
      <c r="G69"/>
      <c r="H69"/>
      <c r="I69"/>
    </row>
    <row r="70" spans="1:111" s="4" customFormat="1">
      <c r="A70"/>
      <c r="B70"/>
      <c r="C70"/>
      <c r="D70"/>
      <c r="E70"/>
      <c r="F70"/>
      <c r="G70"/>
      <c r="H70"/>
      <c r="I70"/>
      <c r="M70" s="10"/>
      <c r="N70" s="84"/>
    </row>
    <row r="71" spans="1:111" s="4" customFormat="1">
      <c r="A71"/>
      <c r="B71"/>
      <c r="C71"/>
      <c r="D71"/>
      <c r="E71"/>
      <c r="F71"/>
      <c r="G71"/>
      <c r="H71"/>
      <c r="I71"/>
      <c r="M71" s="10"/>
    </row>
    <row r="72" spans="1:111" s="4" customFormat="1">
      <c r="A72"/>
      <c r="B72"/>
      <c r="C72"/>
      <c r="D72"/>
      <c r="E72"/>
      <c r="F72"/>
      <c r="G72"/>
      <c r="H72"/>
      <c r="I72"/>
      <c r="M72" s="10"/>
    </row>
    <row r="73" spans="1:111" s="4" customFormat="1">
      <c r="A73"/>
      <c r="B73"/>
      <c r="C73"/>
      <c r="D73"/>
      <c r="E73"/>
      <c r="F73"/>
      <c r="G73"/>
      <c r="H73"/>
      <c r="I73"/>
    </row>
    <row r="74" spans="1:111" s="4" customFormat="1">
      <c r="A74"/>
      <c r="B74"/>
      <c r="C74"/>
      <c r="D74"/>
      <c r="E74"/>
      <c r="F74"/>
      <c r="G74"/>
      <c r="H74"/>
      <c r="I74"/>
    </row>
    <row r="75" spans="1:111" s="4" customFormat="1">
      <c r="A75"/>
      <c r="B75"/>
      <c r="C75"/>
      <c r="D75"/>
      <c r="E75"/>
      <c r="F75"/>
      <c r="G75"/>
      <c r="H75"/>
      <c r="I75"/>
    </row>
    <row r="76" spans="1:111" s="7" customFormat="1" ht="13.8" thickBot="1">
      <c r="A76"/>
      <c r="B76"/>
      <c r="C76"/>
      <c r="D76"/>
      <c r="E76"/>
      <c r="F76"/>
      <c r="G76"/>
      <c r="H76"/>
      <c r="I76"/>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11">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row>
    <row r="78" spans="1:111">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row>
    <row r="79" spans="1:111">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row>
    <row r="80" spans="1:111">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row>
    <row r="81" spans="18:111">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row>
    <row r="82" spans="18:111">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row>
    <row r="83" spans="18:111">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row>
    <row r="84" spans="18:111">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row>
    <row r="85" spans="18:111">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row>
  </sheetData>
  <sheetProtection algorithmName="SHA-512" hashValue="Brm6l5bXDQOyvTUWB3UGKE+OKzdZ4pjNWIokWE160AdBt0j7tmsXxQTBlQ1xDucgfS+DzoaFymrU8AFCLe4LSA==" saltValue="rVY7cJX22ljsIXn/48mG7w==" spinCount="100000" sheet="1" objects="1" scenarios="1"/>
  <mergeCells count="10">
    <mergeCell ref="N3:P3"/>
    <mergeCell ref="AA29:AB29"/>
    <mergeCell ref="X53:Y53"/>
    <mergeCell ref="AA53:AB53"/>
    <mergeCell ref="O9:O10"/>
    <mergeCell ref="E33:F33"/>
    <mergeCell ref="D2:E2"/>
    <mergeCell ref="A33:B33"/>
    <mergeCell ref="C36:C37"/>
    <mergeCell ref="D35:D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B3:N32"/>
  <sheetViews>
    <sheetView workbookViewId="0">
      <selection activeCell="B5" sqref="B5"/>
    </sheetView>
  </sheetViews>
  <sheetFormatPr defaultColWidth="8.77734375" defaultRowHeight="13.2"/>
  <cols>
    <col min="3" max="3" width="12.44140625" customWidth="1"/>
    <col min="4" max="4" width="15.6640625" customWidth="1"/>
    <col min="5" max="5" width="14.5546875" customWidth="1"/>
    <col min="10" max="10" width="58.5546875" customWidth="1"/>
    <col min="11" max="13" width="11.77734375" customWidth="1"/>
  </cols>
  <sheetData>
    <row r="3" spans="2:14" ht="13.8" thickBot="1"/>
    <row r="4" spans="2:14" ht="34.049999999999997" customHeight="1" thickBot="1">
      <c r="B4" s="286" t="s">
        <v>119</v>
      </c>
      <c r="C4" s="287"/>
      <c r="D4" s="287"/>
      <c r="E4" s="287"/>
      <c r="F4" s="287"/>
      <c r="G4" s="287"/>
      <c r="H4" s="288"/>
      <c r="J4" s="289" t="s">
        <v>93</v>
      </c>
      <c r="K4" s="290"/>
    </row>
    <row r="5" spans="2:14" ht="22.05" customHeight="1" thickBot="1">
      <c r="B5" s="70"/>
      <c r="C5" s="40" t="s">
        <v>3</v>
      </c>
      <c r="D5" s="40"/>
      <c r="E5" s="40"/>
      <c r="F5" s="40"/>
      <c r="G5" s="40" t="s">
        <v>24</v>
      </c>
      <c r="H5" s="103"/>
      <c r="J5" s="94"/>
      <c r="K5" s="203" t="s">
        <v>92</v>
      </c>
      <c r="L5" s="2"/>
    </row>
    <row r="6" spans="2:14" ht="20.399999999999999">
      <c r="B6" s="70"/>
      <c r="C6" s="40"/>
      <c r="D6" s="40"/>
      <c r="E6" s="40"/>
      <c r="F6" s="40"/>
      <c r="G6" s="40"/>
      <c r="H6" s="103"/>
      <c r="J6" s="99" t="s">
        <v>83</v>
      </c>
      <c r="K6" s="240">
        <v>0.6</v>
      </c>
      <c r="L6" s="2"/>
    </row>
    <row r="7" spans="2:14" ht="20.399999999999999">
      <c r="B7" s="70" t="s">
        <v>6</v>
      </c>
      <c r="C7" s="40" t="s">
        <v>4</v>
      </c>
      <c r="D7" s="40" t="s">
        <v>5</v>
      </c>
      <c r="E7" s="40"/>
      <c r="F7" s="40"/>
      <c r="G7" s="40" t="s">
        <v>21</v>
      </c>
      <c r="H7" s="103"/>
      <c r="J7" s="100" t="s">
        <v>91</v>
      </c>
      <c r="K7" s="241">
        <v>0.6</v>
      </c>
      <c r="L7" s="2"/>
    </row>
    <row r="8" spans="2:14" ht="41.4" thickBot="1">
      <c r="B8" s="70"/>
      <c r="C8" s="40" t="s">
        <v>94</v>
      </c>
      <c r="D8" s="40" t="s">
        <v>0</v>
      </c>
      <c r="E8" s="40"/>
      <c r="F8" s="40"/>
      <c r="G8" s="40" t="s">
        <v>22</v>
      </c>
      <c r="H8" s="103"/>
      <c r="J8" s="222" t="s">
        <v>99</v>
      </c>
      <c r="K8" s="239">
        <v>1.125</v>
      </c>
      <c r="L8" s="2"/>
    </row>
    <row r="9" spans="2:14" ht="21" thickBot="1">
      <c r="B9" s="98">
        <v>1</v>
      </c>
      <c r="C9" s="245">
        <v>0.20300000000000001</v>
      </c>
      <c r="D9" s="245">
        <v>409</v>
      </c>
      <c r="E9" s="283" t="s">
        <v>7</v>
      </c>
      <c r="F9" s="96"/>
      <c r="G9" s="96">
        <f>C9*D9</f>
        <v>83.027000000000001</v>
      </c>
      <c r="H9" s="97"/>
      <c r="L9" s="2"/>
    </row>
    <row r="10" spans="2:14" ht="21" thickBot="1">
      <c r="B10" s="70">
        <v>2</v>
      </c>
      <c r="C10" s="238">
        <v>0.20300000000000001</v>
      </c>
      <c r="D10" s="238">
        <v>480</v>
      </c>
      <c r="E10" s="284"/>
      <c r="F10" s="40"/>
      <c r="G10" s="96">
        <f t="shared" ref="G10:G13" si="0">C10*D10</f>
        <v>97.440000000000012</v>
      </c>
      <c r="H10" s="103"/>
      <c r="N10" s="2"/>
    </row>
    <row r="11" spans="2:14" ht="21" thickBot="1">
      <c r="B11" s="70">
        <v>3</v>
      </c>
      <c r="C11" s="238">
        <v>0.26700000000000002</v>
      </c>
      <c r="D11" s="238">
        <f>H21</f>
        <v>582</v>
      </c>
      <c r="E11" s="284"/>
      <c r="F11" s="40"/>
      <c r="G11" s="96">
        <f t="shared" si="0"/>
        <v>155.39400000000001</v>
      </c>
      <c r="H11" s="103"/>
      <c r="J11" s="95"/>
      <c r="K11" s="2"/>
      <c r="L11" s="2"/>
      <c r="M11" s="2"/>
      <c r="N11" s="2"/>
    </row>
    <row r="12" spans="2:14" ht="21" thickBot="1">
      <c r="B12" s="70">
        <v>4</v>
      </c>
      <c r="C12" s="238">
        <v>0.39400000000000002</v>
      </c>
      <c r="D12" s="238">
        <f>H21</f>
        <v>582</v>
      </c>
      <c r="E12" s="284"/>
      <c r="F12" s="40"/>
      <c r="G12" s="96">
        <f t="shared" si="0"/>
        <v>229.30800000000002</v>
      </c>
      <c r="H12" s="103"/>
      <c r="J12" s="43"/>
      <c r="N12" s="2"/>
    </row>
    <row r="13" spans="2:14" ht="21" thickBot="1">
      <c r="B13" s="78">
        <v>5</v>
      </c>
      <c r="C13" s="244">
        <v>0.39400000000000002</v>
      </c>
      <c r="D13" s="244">
        <v>409</v>
      </c>
      <c r="E13" s="285"/>
      <c r="F13" s="104"/>
      <c r="G13" s="208">
        <f t="shared" si="0"/>
        <v>161.14600000000002</v>
      </c>
      <c r="H13" s="105"/>
      <c r="J13" s="43"/>
      <c r="N13" s="2"/>
    </row>
    <row r="14" spans="2:14">
      <c r="J14" s="43"/>
    </row>
    <row r="15" spans="2:14">
      <c r="J15" s="43"/>
    </row>
    <row r="16" spans="2:14" ht="22.05" customHeight="1">
      <c r="J16" s="43"/>
    </row>
    <row r="18" spans="2:10" ht="20.399999999999999">
      <c r="B18" s="40"/>
      <c r="C18" s="40"/>
      <c r="D18" s="40"/>
      <c r="E18" s="40"/>
      <c r="F18" s="40"/>
      <c r="G18" s="40"/>
      <c r="H18" s="40"/>
      <c r="J18" s="43"/>
    </row>
    <row r="19" spans="2:10" ht="21" thickBot="1">
      <c r="B19" s="40"/>
      <c r="C19" s="40"/>
      <c r="D19" s="40"/>
      <c r="E19" s="40"/>
      <c r="F19" s="40"/>
      <c r="G19" s="40"/>
      <c r="H19" s="40"/>
      <c r="J19" s="43"/>
    </row>
    <row r="20" spans="2:10" ht="20.399999999999999">
      <c r="B20" s="98"/>
      <c r="C20" s="96"/>
      <c r="D20" s="96"/>
      <c r="E20" s="96"/>
      <c r="F20" s="96"/>
      <c r="G20" s="96"/>
      <c r="H20" s="97" t="s">
        <v>0</v>
      </c>
    </row>
    <row r="21" spans="2:10" ht="21" thickBot="1">
      <c r="B21" s="78"/>
      <c r="C21" s="104" t="s">
        <v>45</v>
      </c>
      <c r="D21" s="104"/>
      <c r="E21" s="104"/>
      <c r="F21" s="104"/>
      <c r="G21" s="104"/>
      <c r="H21" s="239">
        <v>582</v>
      </c>
      <c r="I21" s="1"/>
    </row>
    <row r="22" spans="2:10" ht="20.399999999999999">
      <c r="B22" s="106"/>
      <c r="C22" s="106"/>
      <c r="D22" s="106"/>
      <c r="E22" s="106"/>
      <c r="F22" s="106"/>
      <c r="G22" s="106"/>
      <c r="H22" s="106"/>
      <c r="I22" s="1"/>
    </row>
    <row r="23" spans="2:10" ht="21" thickBot="1">
      <c r="B23" s="106"/>
      <c r="C23" s="106"/>
      <c r="D23" s="106"/>
      <c r="E23" s="106"/>
      <c r="F23" s="106"/>
      <c r="G23" s="106"/>
      <c r="H23" s="106"/>
      <c r="I23" s="1"/>
    </row>
    <row r="24" spans="2:10" ht="20.399999999999999">
      <c r="B24" s="98"/>
      <c r="C24" s="96"/>
      <c r="D24" s="96"/>
      <c r="E24" s="96"/>
      <c r="F24" s="96"/>
      <c r="G24" s="96" t="s">
        <v>0</v>
      </c>
      <c r="H24" s="97"/>
      <c r="I24" s="1"/>
    </row>
    <row r="25" spans="2:10" ht="20.399999999999999">
      <c r="B25" s="70"/>
      <c r="C25" s="40" t="s">
        <v>46</v>
      </c>
      <c r="D25" s="40"/>
      <c r="E25" s="40" t="s">
        <v>96</v>
      </c>
      <c r="F25" s="40"/>
      <c r="G25" s="242">
        <v>10</v>
      </c>
      <c r="H25" s="103"/>
      <c r="I25" s="1"/>
    </row>
    <row r="26" spans="2:10" ht="20.399999999999999">
      <c r="B26" s="70"/>
      <c r="C26" s="40" t="s">
        <v>46</v>
      </c>
      <c r="D26" s="40"/>
      <c r="E26" s="40" t="s">
        <v>95</v>
      </c>
      <c r="F26" s="40"/>
      <c r="G26" s="243">
        <v>20</v>
      </c>
      <c r="H26" s="103"/>
      <c r="I26" s="1"/>
    </row>
    <row r="27" spans="2:10" ht="21" thickBot="1">
      <c r="B27" s="78"/>
      <c r="C27" s="104"/>
      <c r="D27" s="104"/>
      <c r="E27" s="104"/>
      <c r="F27" s="104"/>
      <c r="G27" s="104"/>
      <c r="H27" s="105"/>
      <c r="I27" s="1"/>
    </row>
    <row r="28" spans="2:10" ht="20.399999999999999">
      <c r="B28" s="106"/>
      <c r="C28" s="106"/>
      <c r="D28" s="106"/>
      <c r="E28" s="106"/>
      <c r="F28" s="106"/>
      <c r="G28" s="106"/>
      <c r="H28" s="106"/>
      <c r="I28" s="1"/>
    </row>
    <row r="29" spans="2:10" ht="21" thickBot="1">
      <c r="B29" s="106"/>
      <c r="C29" s="106"/>
      <c r="D29" s="106"/>
      <c r="E29" s="106"/>
      <c r="F29" s="106"/>
      <c r="G29" s="106"/>
      <c r="H29" s="106"/>
      <c r="I29" s="1"/>
    </row>
    <row r="30" spans="2:10" ht="20.399999999999999">
      <c r="B30" s="98"/>
      <c r="C30" s="96"/>
      <c r="D30" s="96"/>
      <c r="E30" s="96" t="s">
        <v>9</v>
      </c>
      <c r="F30" s="96"/>
      <c r="G30" s="96"/>
      <c r="H30" s="97"/>
      <c r="I30" s="1"/>
    </row>
    <row r="31" spans="2:10" ht="21" thickBot="1">
      <c r="B31" s="78"/>
      <c r="C31" s="104" t="s">
        <v>50</v>
      </c>
      <c r="D31" s="104"/>
      <c r="E31" s="244">
        <v>65</v>
      </c>
      <c r="F31" s="104"/>
      <c r="G31" s="104"/>
      <c r="H31" s="105"/>
    </row>
    <row r="32" spans="2:10" ht="21" thickBot="1">
      <c r="B32" s="101"/>
      <c r="C32" s="107" t="s">
        <v>82</v>
      </c>
      <c r="D32" s="107"/>
      <c r="E32" s="245">
        <v>-0.25700000000000001</v>
      </c>
      <c r="F32" s="107" t="s">
        <v>94</v>
      </c>
      <c r="G32" s="107"/>
      <c r="H32" s="102"/>
    </row>
  </sheetData>
  <sheetProtection algorithmName="SHA-512" hashValue="0lPFmo0u2P8LTNKqzmrZ5XIwC8i7ZaDceukvzetEHaN2zuIreNsSC8iSwd1ZZIPKrAyYiV7gYOb1xZKyOdCFZw==" saltValue="e+Pps5tP8cMLuaWXTplAdw==" spinCount="100000" sheet="1" objects="1" scenarios="1" selectLockedCells="1"/>
  <mergeCells count="3">
    <mergeCell ref="E9:E13"/>
    <mergeCell ref="B4:H4"/>
    <mergeCell ref="J4:K4"/>
  </mergeCells>
  <phoneticPr fontId="0" type="noConversion"/>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K32"/>
  <sheetViews>
    <sheetView topLeftCell="A12" workbookViewId="0">
      <selection activeCell="H26" sqref="H26"/>
    </sheetView>
  </sheetViews>
  <sheetFormatPr defaultColWidth="10.77734375" defaultRowHeight="17.399999999999999"/>
  <cols>
    <col min="1" max="4" width="5.6640625" style="168" customWidth="1"/>
    <col min="5" max="5" width="15.109375" style="168" customWidth="1"/>
    <col min="6" max="6" width="30.109375" customWidth="1"/>
    <col min="7" max="8" width="20.77734375" customWidth="1"/>
    <col min="12" max="16384" width="10.77734375" style="168"/>
  </cols>
  <sheetData>
    <row r="1" spans="1:11" ht="40.950000000000003" customHeight="1" thickBot="1">
      <c r="A1" s="291" t="s">
        <v>41</v>
      </c>
      <c r="B1" s="292"/>
      <c r="C1" s="292"/>
      <c r="D1" s="292"/>
      <c r="E1" s="292"/>
      <c r="F1" s="292"/>
      <c r="G1" s="292"/>
      <c r="H1" s="293"/>
      <c r="I1" s="168"/>
      <c r="J1" s="168"/>
      <c r="K1" s="168"/>
    </row>
    <row r="2" spans="1:11" s="173" customFormat="1" ht="42" customHeight="1" thickBot="1">
      <c r="A2" s="169" t="s">
        <v>37</v>
      </c>
      <c r="B2" s="170"/>
      <c r="C2" s="170"/>
      <c r="D2" s="170"/>
      <c r="E2" s="170"/>
      <c r="F2" s="170"/>
      <c r="G2" s="171" t="s">
        <v>38</v>
      </c>
      <c r="H2" s="172" t="s">
        <v>89</v>
      </c>
    </row>
    <row r="3" spans="1:11" s="173" customFormat="1" ht="28.95" customHeight="1">
      <c r="A3" s="174"/>
      <c r="B3" s="175" t="s">
        <v>30</v>
      </c>
      <c r="C3" s="176"/>
      <c r="D3" s="176"/>
      <c r="E3" s="176"/>
      <c r="F3" s="176"/>
      <c r="G3" s="177"/>
      <c r="H3" s="177"/>
    </row>
    <row r="4" spans="1:11" s="173" customFormat="1" ht="28.95" customHeight="1">
      <c r="A4" s="174"/>
      <c r="B4" s="178"/>
      <c r="C4" s="179" t="s">
        <v>31</v>
      </c>
      <c r="D4" s="180"/>
      <c r="E4" s="180"/>
      <c r="F4" s="180"/>
      <c r="G4" s="181" t="s">
        <v>114</v>
      </c>
      <c r="H4" s="181" t="s">
        <v>114</v>
      </c>
    </row>
    <row r="5" spans="1:11" s="173" customFormat="1" ht="28.95" customHeight="1">
      <c r="A5" s="174"/>
      <c r="B5" s="178"/>
      <c r="C5" s="179" t="s">
        <v>32</v>
      </c>
      <c r="D5" s="180"/>
      <c r="E5" s="180"/>
      <c r="F5" s="180"/>
      <c r="G5" s="181" t="s">
        <v>114</v>
      </c>
      <c r="H5" s="181" t="s">
        <v>114</v>
      </c>
    </row>
    <row r="6" spans="1:11" s="173" customFormat="1" ht="28.95" customHeight="1">
      <c r="A6" s="174"/>
      <c r="B6" s="183" t="s">
        <v>54</v>
      </c>
      <c r="C6" s="180"/>
      <c r="D6" s="180"/>
      <c r="E6" s="180"/>
      <c r="F6" s="180"/>
      <c r="G6" s="181"/>
      <c r="H6" s="181"/>
    </row>
    <row r="7" spans="1:11" s="173" customFormat="1" ht="28.95" customHeight="1">
      <c r="A7" s="174"/>
      <c r="C7" s="179" t="s">
        <v>33</v>
      </c>
      <c r="D7" s="180"/>
      <c r="E7" s="180"/>
      <c r="F7" s="180"/>
      <c r="G7" s="181" t="s">
        <v>114</v>
      </c>
      <c r="H7" s="181" t="s">
        <v>114</v>
      </c>
    </row>
    <row r="8" spans="1:11" s="173" customFormat="1" ht="28.95" customHeight="1">
      <c r="A8" s="174"/>
      <c r="B8" s="179"/>
      <c r="C8" s="180" t="s">
        <v>55</v>
      </c>
      <c r="D8" s="180"/>
      <c r="E8" s="180"/>
      <c r="F8" s="180"/>
      <c r="G8" s="181" t="s">
        <v>114</v>
      </c>
      <c r="H8" s="181" t="s">
        <v>114</v>
      </c>
    </row>
    <row r="9" spans="1:11" s="173" customFormat="1" ht="28.95" customHeight="1">
      <c r="A9" s="174"/>
      <c r="B9" s="179"/>
      <c r="C9" s="180" t="s">
        <v>56</v>
      </c>
      <c r="D9" s="180"/>
      <c r="E9" s="180"/>
      <c r="F9" s="180"/>
      <c r="G9" s="181" t="s">
        <v>114</v>
      </c>
      <c r="H9" s="181" t="s">
        <v>114</v>
      </c>
    </row>
    <row r="10" spans="1:11" s="173" customFormat="1" ht="28.95" customHeight="1">
      <c r="A10" s="174"/>
      <c r="B10" s="179" t="s">
        <v>28</v>
      </c>
      <c r="C10" s="180"/>
      <c r="D10" s="180"/>
      <c r="E10" s="180"/>
      <c r="F10" s="180"/>
      <c r="G10" s="181"/>
      <c r="H10" s="181"/>
    </row>
    <row r="11" spans="1:11" s="173" customFormat="1" ht="28.95" customHeight="1">
      <c r="A11" s="174"/>
      <c r="B11" s="178"/>
      <c r="C11" s="179" t="s">
        <v>34</v>
      </c>
      <c r="D11" s="180"/>
      <c r="E11" s="180"/>
      <c r="F11" s="180"/>
      <c r="G11" s="181" t="s">
        <v>114</v>
      </c>
      <c r="H11" s="181" t="s">
        <v>114</v>
      </c>
    </row>
    <row r="12" spans="1:11" s="173" customFormat="1" ht="28.95" customHeight="1">
      <c r="A12" s="174"/>
      <c r="B12" s="178"/>
      <c r="C12" s="179" t="s">
        <v>57</v>
      </c>
      <c r="D12" s="180"/>
      <c r="E12" s="180"/>
      <c r="F12" s="180"/>
      <c r="G12" s="181" t="s">
        <v>114</v>
      </c>
      <c r="H12" s="181" t="s">
        <v>114</v>
      </c>
    </row>
    <row r="13" spans="1:11" s="173" customFormat="1" ht="28.95" customHeight="1">
      <c r="A13" s="174"/>
      <c r="B13" s="183"/>
      <c r="C13" s="179" t="s">
        <v>58</v>
      </c>
      <c r="D13" s="180"/>
      <c r="E13" s="180"/>
      <c r="F13" s="180"/>
      <c r="G13" s="181" t="s">
        <v>114</v>
      </c>
      <c r="H13" s="181" t="s">
        <v>114</v>
      </c>
    </row>
    <row r="14" spans="1:11" s="173" customFormat="1" ht="28.95" customHeight="1">
      <c r="A14" s="174"/>
      <c r="B14" s="183" t="s">
        <v>59</v>
      </c>
      <c r="C14" s="180"/>
      <c r="D14" s="180"/>
      <c r="E14" s="180"/>
      <c r="F14" s="180"/>
      <c r="G14" s="181"/>
      <c r="H14" s="181"/>
    </row>
    <row r="15" spans="1:11" s="173" customFormat="1" ht="28.95" customHeight="1">
      <c r="A15" s="174"/>
      <c r="B15" s="183"/>
      <c r="C15" s="179" t="s">
        <v>60</v>
      </c>
      <c r="D15" s="180"/>
      <c r="E15" s="180"/>
      <c r="F15" s="180"/>
      <c r="G15" s="181" t="s">
        <v>114</v>
      </c>
      <c r="H15" s="181" t="s">
        <v>114</v>
      </c>
    </row>
    <row r="16" spans="1:11" s="173" customFormat="1" ht="28.95" customHeight="1">
      <c r="A16" s="174"/>
      <c r="B16" s="183"/>
      <c r="C16" s="179" t="s">
        <v>61</v>
      </c>
      <c r="D16" s="180"/>
      <c r="E16" s="180"/>
      <c r="F16" s="180"/>
      <c r="G16" s="181" t="s">
        <v>114</v>
      </c>
      <c r="H16" s="181" t="s">
        <v>114</v>
      </c>
    </row>
    <row r="17" spans="1:11" s="173" customFormat="1" ht="28.95" customHeight="1">
      <c r="A17" s="174"/>
      <c r="B17" s="183"/>
      <c r="C17" s="179" t="s">
        <v>62</v>
      </c>
      <c r="D17" s="180"/>
      <c r="E17" s="180"/>
      <c r="F17" s="180"/>
      <c r="G17" s="181" t="s">
        <v>114</v>
      </c>
      <c r="H17" s="181" t="s">
        <v>114</v>
      </c>
    </row>
    <row r="18" spans="1:11" s="173" customFormat="1" ht="28.95" customHeight="1">
      <c r="A18" s="174"/>
      <c r="B18" s="183"/>
      <c r="C18" s="179" t="s">
        <v>63</v>
      </c>
      <c r="D18" s="180"/>
      <c r="E18" s="180"/>
      <c r="F18" s="180"/>
      <c r="G18" s="181" t="s">
        <v>114</v>
      </c>
      <c r="H18" s="181" t="s">
        <v>114</v>
      </c>
    </row>
    <row r="19" spans="1:11" s="173" customFormat="1" ht="28.95" customHeight="1">
      <c r="A19" s="174"/>
      <c r="B19" s="183"/>
      <c r="C19" s="179" t="s">
        <v>64</v>
      </c>
      <c r="D19" s="180"/>
      <c r="E19" s="180"/>
      <c r="F19" s="180"/>
      <c r="G19" s="181" t="s">
        <v>114</v>
      </c>
      <c r="H19" s="181" t="s">
        <v>114</v>
      </c>
      <c r="J19" s="184"/>
    </row>
    <row r="20" spans="1:11" ht="28.95" customHeight="1">
      <c r="A20" s="174"/>
      <c r="B20" s="179" t="s">
        <v>29</v>
      </c>
      <c r="C20" s="180"/>
      <c r="D20" s="180"/>
      <c r="E20" s="180"/>
      <c r="F20" s="180"/>
      <c r="G20" s="181"/>
      <c r="H20" s="181"/>
      <c r="I20" s="168"/>
      <c r="J20" s="168"/>
      <c r="K20" s="168"/>
    </row>
    <row r="21" spans="1:11" ht="28.95" customHeight="1">
      <c r="A21" s="174"/>
      <c r="B21" s="178"/>
      <c r="C21" s="179" t="s">
        <v>36</v>
      </c>
      <c r="D21" s="180"/>
      <c r="E21" s="180"/>
      <c r="F21" s="180"/>
      <c r="G21" s="181" t="s">
        <v>114</v>
      </c>
      <c r="H21" s="181" t="s">
        <v>114</v>
      </c>
      <c r="I21" s="168"/>
      <c r="J21" s="168"/>
      <c r="K21" s="168"/>
    </row>
    <row r="22" spans="1:11" ht="28.95" customHeight="1">
      <c r="A22" s="174"/>
      <c r="B22" s="178"/>
      <c r="C22" s="179" t="s">
        <v>35</v>
      </c>
      <c r="D22" s="180"/>
      <c r="E22" s="180"/>
      <c r="F22" s="180"/>
      <c r="G22" s="181" t="s">
        <v>114</v>
      </c>
      <c r="H22" s="181" t="s">
        <v>114</v>
      </c>
      <c r="I22" s="168"/>
      <c r="J22" s="168"/>
      <c r="K22" s="168"/>
    </row>
    <row r="23" spans="1:11" ht="28.95" customHeight="1">
      <c r="A23" s="174"/>
      <c r="B23" s="179" t="s">
        <v>27</v>
      </c>
      <c r="C23" s="180"/>
      <c r="D23" s="180"/>
      <c r="E23" s="180"/>
      <c r="F23" s="180"/>
      <c r="G23" s="181"/>
      <c r="H23" s="181"/>
      <c r="I23" s="168"/>
      <c r="J23" s="168"/>
      <c r="K23" s="168"/>
    </row>
    <row r="24" spans="1:11" ht="28.95" customHeight="1">
      <c r="A24" s="174"/>
      <c r="B24" s="176"/>
      <c r="C24" s="186" t="s">
        <v>65</v>
      </c>
      <c r="D24" s="176"/>
      <c r="E24" s="176"/>
      <c r="F24" s="176"/>
      <c r="G24" s="181" t="s">
        <v>114</v>
      </c>
      <c r="H24" s="181" t="s">
        <v>114</v>
      </c>
      <c r="I24" s="168"/>
      <c r="J24" s="168"/>
      <c r="K24" s="168"/>
    </row>
    <row r="25" spans="1:11" ht="28.95" customHeight="1">
      <c r="A25" s="174"/>
      <c r="B25" s="179"/>
      <c r="C25" s="179" t="s">
        <v>66</v>
      </c>
      <c r="D25" s="180"/>
      <c r="E25" s="180"/>
      <c r="F25" s="180"/>
      <c r="G25" s="181" t="s">
        <v>114</v>
      </c>
      <c r="H25" s="181" t="s">
        <v>114</v>
      </c>
      <c r="I25" s="168"/>
      <c r="J25" s="168"/>
      <c r="K25" s="168"/>
    </row>
    <row r="26" spans="1:11" ht="28.95" customHeight="1">
      <c r="A26" s="174"/>
      <c r="B26" s="176"/>
      <c r="C26" s="176"/>
      <c r="D26" s="176"/>
      <c r="E26" s="176"/>
      <c r="F26" s="176"/>
      <c r="G26" s="185"/>
      <c r="H26" s="182"/>
      <c r="I26" s="168"/>
      <c r="J26" s="168"/>
      <c r="K26" s="168"/>
    </row>
    <row r="27" spans="1:11" ht="28.95" customHeight="1">
      <c r="A27" s="174"/>
      <c r="B27" s="179"/>
      <c r="C27" s="180"/>
      <c r="D27" s="180"/>
      <c r="E27" s="180"/>
      <c r="F27" s="180"/>
      <c r="G27" s="185"/>
      <c r="H27" s="182"/>
      <c r="I27" s="168"/>
      <c r="J27" s="168"/>
      <c r="K27" s="168"/>
    </row>
    <row r="28" spans="1:11" ht="28.95" customHeight="1" thickBot="1">
      <c r="A28" s="174"/>
      <c r="B28" s="186"/>
      <c r="C28" s="187"/>
      <c r="D28" s="187"/>
      <c r="E28" s="187"/>
      <c r="F28" s="187"/>
      <c r="G28" s="188"/>
      <c r="H28" s="189"/>
      <c r="I28" s="168"/>
      <c r="J28" s="168"/>
      <c r="K28" s="168"/>
    </row>
    <row r="29" spans="1:11" ht="22.05" customHeight="1" thickBot="1">
      <c r="A29" s="223" t="s">
        <v>67</v>
      </c>
      <c r="B29" s="226"/>
      <c r="C29" s="190"/>
      <c r="D29" s="190"/>
      <c r="E29" s="227">
        <v>42783</v>
      </c>
      <c r="F29" s="191" t="s">
        <v>38</v>
      </c>
      <c r="G29" s="192" t="s">
        <v>40</v>
      </c>
      <c r="H29" s="193"/>
      <c r="I29" s="168"/>
      <c r="J29" s="168"/>
      <c r="K29" s="168"/>
    </row>
    <row r="30" spans="1:11" ht="22.05" customHeight="1" thickBot="1">
      <c r="A30" s="224" t="s">
        <v>39</v>
      </c>
      <c r="B30" s="194"/>
      <c r="C30" s="195"/>
      <c r="D30" s="195"/>
      <c r="E30" s="227">
        <v>42783</v>
      </c>
      <c r="F30" s="196" t="s">
        <v>89</v>
      </c>
      <c r="G30" s="197" t="s">
        <v>40</v>
      </c>
      <c r="H30" s="198"/>
      <c r="I30" s="168"/>
      <c r="J30" s="168"/>
      <c r="K30" s="168"/>
    </row>
    <row r="31" spans="1:11" ht="22.05" customHeight="1" thickBot="1">
      <c r="A31" s="225" t="s">
        <v>68</v>
      </c>
      <c r="B31" s="199"/>
      <c r="C31" s="200"/>
      <c r="D31" s="200"/>
      <c r="E31" s="227">
        <v>42783</v>
      </c>
      <c r="F31" s="201" t="s">
        <v>69</v>
      </c>
      <c r="G31" s="202" t="s">
        <v>70</v>
      </c>
      <c r="I31" s="168"/>
      <c r="J31" s="168"/>
      <c r="K31" s="168"/>
    </row>
    <row r="32" spans="1:11" ht="22.05" customHeight="1"/>
  </sheetData>
  <sheetProtection algorithmName="SHA-512" hashValue="Q4om3/uVKVdyNwotZpLGYOQBnVsAF+/icOI3WxnSn3LgJNO4H3mjBwUnc4X3ww8YecEisFdzTUYoHWvxurASMw==" saltValue="oZ0lyj24hJl0sVrqM65GyQ==" spinCount="100000" sheet="1" objects="1" scenarios="1" selectLockedCells="1"/>
  <mergeCells count="1">
    <mergeCell ref="A1:H1"/>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VOORBLAD</vt:lpstr>
      <vt:lpstr>CALCULATORS</vt:lpstr>
      <vt:lpstr>LIMITATIONS</vt:lpstr>
      <vt:lpstr>CONTROLE, REVISIE</vt:lpstr>
      <vt:lpstr>VOORBLAD!Afdrukbereik</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Dirk Jansen</dc:creator>
  <cp:keywords/>
  <dc:description/>
  <cp:lastModifiedBy>Dirk Jansen</cp:lastModifiedBy>
  <cp:lastPrinted>2016-08-22T13:46:55Z</cp:lastPrinted>
  <dcterms:created xsi:type="dcterms:W3CDTF">2005-05-21T08:59:53Z</dcterms:created>
  <dcterms:modified xsi:type="dcterms:W3CDTF">2017-02-16T11:56:47Z</dcterms:modified>
  <cp:category/>
</cp:coreProperties>
</file>