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dgmjansen\Dropbox\Zelf Vliegen\W&amp;B ontwikkeling\PHSTW\"/>
    </mc:Choice>
  </mc:AlternateContent>
  <bookViews>
    <workbookView xWindow="0" yWindow="-456" windowWidth="28800" windowHeight="18000"/>
  </bookViews>
  <sheets>
    <sheet name="VOORBLAD" sheetId="2" r:id="rId1"/>
    <sheet name="CALCULATORS" sheetId="4" state="hidden" r:id="rId2"/>
    <sheet name="LIMITATIONS" sheetId="3" state="hidden" r:id="rId3"/>
    <sheet name="CONTROLE, REVISIE" sheetId="5" state="hidden" r:id="rId4"/>
  </sheets>
  <definedNames>
    <definedName name="_xlnm.Print_Area" localSheetId="0">VOORBLAD!$A:$G</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4" i="4" l="1"/>
  <c r="B16" i="4"/>
  <c r="E17" i="2"/>
  <c r="B14" i="2"/>
  <c r="J14" i="2"/>
  <c r="G14" i="2"/>
  <c r="D7" i="4"/>
  <c r="D6" i="4"/>
  <c r="D5" i="4"/>
  <c r="D8" i="4"/>
  <c r="D9" i="4"/>
  <c r="D10" i="4"/>
  <c r="D4" i="4"/>
  <c r="D11" i="4"/>
  <c r="E11" i="4"/>
  <c r="C44" i="4"/>
  <c r="E14" i="4"/>
  <c r="E15" i="4"/>
  <c r="E16" i="4"/>
  <c r="E19" i="4"/>
  <c r="J10" i="2"/>
  <c r="J12" i="2"/>
  <c r="E48" i="4"/>
  <c r="J8" i="2"/>
  <c r="J9" i="2"/>
  <c r="A18" i="2"/>
  <c r="B18" i="2"/>
  <c r="B21" i="4"/>
  <c r="E21" i="4"/>
  <c r="E22" i="4"/>
  <c r="B22" i="2"/>
  <c r="D22" i="2"/>
  <c r="C21" i="2"/>
  <c r="F21" i="3"/>
  <c r="E24" i="4"/>
  <c r="H21" i="3"/>
  <c r="D14" i="4"/>
  <c r="D15" i="4"/>
  <c r="D16" i="4"/>
  <c r="D19" i="4"/>
  <c r="D25" i="4"/>
  <c r="D24" i="4"/>
  <c r="E31" i="3"/>
  <c r="E25" i="4"/>
  <c r="E35" i="4"/>
  <c r="C14" i="4"/>
  <c r="C17" i="2"/>
  <c r="G26" i="3"/>
  <c r="J13" i="2"/>
  <c r="I21" i="4"/>
  <c r="E7" i="4"/>
  <c r="I7" i="4"/>
  <c r="E9" i="4"/>
  <c r="G9" i="4"/>
  <c r="I9" i="4"/>
  <c r="G5" i="4"/>
  <c r="E5" i="4"/>
  <c r="I5" i="4"/>
  <c r="G6" i="4"/>
  <c r="E6" i="4"/>
  <c r="I6" i="4"/>
  <c r="E8" i="4"/>
  <c r="I8" i="4"/>
  <c r="G10" i="4"/>
  <c r="E10" i="4"/>
  <c r="I10" i="4"/>
  <c r="N7" i="4"/>
  <c r="P5" i="4"/>
  <c r="P7" i="4"/>
  <c r="O7" i="4"/>
  <c r="I4" i="4"/>
  <c r="I11" i="4"/>
  <c r="I14" i="4"/>
  <c r="I15" i="4"/>
  <c r="I16" i="4"/>
  <c r="I19" i="4"/>
  <c r="I22" i="4"/>
  <c r="G22" i="4"/>
  <c r="F36" i="4"/>
  <c r="E36" i="4"/>
  <c r="L21" i="4"/>
  <c r="L19" i="4"/>
  <c r="L22" i="4"/>
  <c r="B36" i="4"/>
  <c r="A36" i="4"/>
  <c r="D21" i="4"/>
  <c r="D22" i="4"/>
  <c r="C21" i="4"/>
  <c r="C15" i="4"/>
  <c r="C16" i="4"/>
  <c r="E4" i="4"/>
  <c r="G4" i="4"/>
  <c r="G25" i="3"/>
  <c r="D14" i="2"/>
  <c r="C18" i="2"/>
  <c r="H67" i="4"/>
  <c r="I67" i="4"/>
  <c r="H68" i="4"/>
  <c r="D3" i="2"/>
  <c r="L5" i="4"/>
  <c r="L6" i="4"/>
  <c r="L7" i="4"/>
  <c r="L8" i="4"/>
  <c r="L9" i="4"/>
  <c r="M9" i="4"/>
  <c r="L10" i="4"/>
  <c r="M10" i="4"/>
  <c r="L14" i="4"/>
  <c r="L15" i="4"/>
  <c r="G16" i="4"/>
  <c r="L16" i="4"/>
  <c r="E37" i="4"/>
  <c r="D68" i="4"/>
  <c r="D67" i="4"/>
  <c r="A37" i="4"/>
  <c r="A35" i="4"/>
  <c r="G10" i="3"/>
  <c r="G11" i="3"/>
  <c r="G12" i="3"/>
  <c r="G13" i="3"/>
  <c r="G15" i="3"/>
  <c r="G16" i="3"/>
  <c r="G17" i="3"/>
  <c r="G9" i="3"/>
  <c r="L11" i="4"/>
  <c r="B35" i="4"/>
  <c r="B37" i="4"/>
  <c r="G19" i="4"/>
  <c r="F37" i="4"/>
  <c r="G11" i="4"/>
  <c r="F35" i="4"/>
  <c r="L4" i="4"/>
</calcChain>
</file>

<file path=xl/sharedStrings.xml><?xml version="1.0" encoding="utf-8"?>
<sst xmlns="http://schemas.openxmlformats.org/spreadsheetml/2006/main" count="240" uniqueCount="146">
  <si>
    <t>kg</t>
  </si>
  <si>
    <t>lbs</t>
  </si>
  <si>
    <t>inch</t>
  </si>
  <si>
    <t>CG limitation</t>
  </si>
  <si>
    <t>location</t>
  </si>
  <si>
    <t>load</t>
  </si>
  <si>
    <t>Inch</t>
  </si>
  <si>
    <t>Pounds</t>
  </si>
  <si>
    <t>punt</t>
  </si>
  <si>
    <t>NORMAL</t>
  </si>
  <si>
    <t>UTILITY</t>
  </si>
  <si>
    <t>gallon</t>
  </si>
  <si>
    <t>liter</t>
  </si>
  <si>
    <t>pound</t>
  </si>
  <si>
    <t xml:space="preserve">kg </t>
  </si>
  <si>
    <t>Baggage station 2</t>
  </si>
  <si>
    <t>Baggage station 1</t>
  </si>
  <si>
    <t xml:space="preserve">van </t>
  </si>
  <si>
    <t>tot</t>
  </si>
  <si>
    <t>max lbs</t>
  </si>
  <si>
    <t>max lbs samen</t>
  </si>
  <si>
    <t>Front Paxx</t>
  </si>
  <si>
    <t xml:space="preserve"> Mensen &amp; Baggage positie</t>
  </si>
  <si>
    <t>ARM</t>
  </si>
  <si>
    <t>MASS</t>
  </si>
  <si>
    <t>Zero fuel Mass</t>
  </si>
  <si>
    <t>Aft seat</t>
  </si>
  <si>
    <t>MOMENT</t>
  </si>
  <si>
    <t>inch.lbs</t>
  </si>
  <si>
    <t>Captains-seat,  34"-46" *</t>
  </si>
  <si>
    <t>Co-pilots-seat,  34"-46" *</t>
  </si>
  <si>
    <t>Baggage station 1, 82"-108" *</t>
  </si>
  <si>
    <t>Baggage station 2, 108"-142" *</t>
  </si>
  <si>
    <t>*use real arm!</t>
  </si>
  <si>
    <t>Taxi fuel (1 USG)</t>
  </si>
  <si>
    <t>kg max</t>
  </si>
  <si>
    <t>Samen 54,5kg max</t>
  </si>
  <si>
    <t>Mass @ Take Off</t>
  </si>
  <si>
    <t>Basic empty weight **</t>
  </si>
  <si>
    <t>**Weighing report date: 18-06-2014</t>
  </si>
  <si>
    <t>USG</t>
  </si>
  <si>
    <t>Liter</t>
  </si>
  <si>
    <t>Fuel tanked (53 USG max)</t>
  </si>
  <si>
    <t>Avaliable trip fuel @ Take Off</t>
  </si>
  <si>
    <t>moment</t>
  </si>
  <si>
    <t>inch.pound/1000</t>
  </si>
  <si>
    <t>1000 inch.lbs</t>
  </si>
  <si>
    <t>moment limitation</t>
  </si>
  <si>
    <t>W&amp;B verloop</t>
  </si>
  <si>
    <t>cm</t>
  </si>
  <si>
    <t>54 kg max</t>
  </si>
  <si>
    <t>22 kg max</t>
  </si>
  <si>
    <t>*fill in the used arm!</t>
  </si>
  <si>
    <t>USG/hr</t>
  </si>
  <si>
    <t>fuel flow</t>
  </si>
  <si>
    <t>beveiliging</t>
  </si>
  <si>
    <t>reken eenheden</t>
  </si>
  <si>
    <t>juiste resultaat</t>
  </si>
  <si>
    <t>actuele genoemde weegbrief</t>
  </si>
  <si>
    <t>juiste weight</t>
  </si>
  <si>
    <t>juiste arm</t>
  </si>
  <si>
    <t>envelope punten correct</t>
  </si>
  <si>
    <t>juiste eenheden</t>
  </si>
  <si>
    <t>in grafiek</t>
  </si>
  <si>
    <t>in getal</t>
  </si>
  <si>
    <t xml:space="preserve">Check op: </t>
  </si>
  <si>
    <t>✔</t>
  </si>
  <si>
    <t>Builder</t>
  </si>
  <si>
    <t>Check date:</t>
  </si>
  <si>
    <t>D Jansen</t>
  </si>
  <si>
    <t>H v Ooijen</t>
  </si>
  <si>
    <t>Control protocol</t>
  </si>
  <si>
    <t>Based on weighing report date: 18-06-2014</t>
  </si>
  <si>
    <t>PIC:</t>
  </si>
  <si>
    <t>today:</t>
  </si>
  <si>
    <t>kgcm</t>
  </si>
  <si>
    <t>lbs.inch</t>
  </si>
  <si>
    <t>weegbrief 18-06-2014</t>
  </si>
  <si>
    <t>Max TO Weight</t>
  </si>
  <si>
    <t>Max Baggage Weight</t>
  </si>
  <si>
    <t>= max in kg</t>
  </si>
  <si>
    <t xml:space="preserve">pound </t>
  </si>
  <si>
    <t>=max samen
 in kg</t>
  </si>
  <si>
    <t>station 1</t>
  </si>
  <si>
    <t>station 2</t>
  </si>
  <si>
    <t>Baggage weight together</t>
  </si>
  <si>
    <t>hr</t>
  </si>
  <si>
    <t>Max fuel</t>
  </si>
  <si>
    <t>W&amp;B, W&amp;M BEREKENINGEN</t>
  </si>
  <si>
    <t>GRAFIEK LIJNEN W&amp;B, W&amp;M</t>
  </si>
  <si>
    <t>CONVERSIONS</t>
  </si>
  <si>
    <t>DIVERSEN</t>
  </si>
  <si>
    <t>limieten</t>
  </si>
  <si>
    <t>juiste baggage limieten</t>
  </si>
  <si>
    <t>juiste fuel maxima usable fuel</t>
  </si>
  <si>
    <t>juiste omreken (conversies) factoren</t>
  </si>
  <si>
    <t>juiste formules</t>
  </si>
  <si>
    <t>W&amp;B berekeningen</t>
  </si>
  <si>
    <t>juiste armen op alle variabele posities</t>
  </si>
  <si>
    <t>juiste max waardes</t>
  </si>
  <si>
    <t>juiste moment berekeningen</t>
  </si>
  <si>
    <t>juiste sommaties momenten &amp; gewichten</t>
  </si>
  <si>
    <t>juiste CG berekening</t>
  </si>
  <si>
    <t>cellen voorblad</t>
  </si>
  <si>
    <t>tabbladen</t>
  </si>
  <si>
    <t>Build date</t>
  </si>
  <si>
    <t>Approval:</t>
  </si>
  <si>
    <t>CMM</t>
  </si>
  <si>
    <t>R Driessen</t>
  </si>
  <si>
    <t>Captain,  34"-46" * (37 mostly used )</t>
  </si>
  <si>
    <t>Fuel tanked (53 USG max)(=201 liter)</t>
  </si>
  <si>
    <t>ENVELOPES PH-STW</t>
  </si>
  <si>
    <t>trip fuel</t>
  </si>
  <si>
    <t>landing mass</t>
  </si>
  <si>
    <t>available loading</t>
  </si>
  <si>
    <t>Max TO</t>
  </si>
  <si>
    <t>caclutated TO mass</t>
  </si>
  <si>
    <t>over/underload lbs</t>
  </si>
  <si>
    <t>over/underload kg</t>
  </si>
  <si>
    <t>max baggage weight station 2</t>
  </si>
  <si>
    <t>max baggage weight station 1</t>
  </si>
  <si>
    <t>ALTERNATE &amp;
RESERVE 
FUEL</t>
  </si>
  <si>
    <t>weight in lbs</t>
  </si>
  <si>
    <t>gewicht verloop - moment verloop</t>
  </si>
  <si>
    <t>overload</t>
  </si>
  <si>
    <t>Co-pilot,  34"-46" * (37 mostly used )</t>
  </si>
  <si>
    <t>TRIP FUEL</t>
  </si>
  <si>
    <t>Fwd</t>
  </si>
  <si>
    <t>Aft</t>
  </si>
  <si>
    <t>Baggage station 1, 82"-108" *  
mostly used 95"</t>
  </si>
  <si>
    <t>Baggage station 2, 108"-142" *  
mostly used 123"</t>
  </si>
  <si>
    <t>Seat &amp; Baggage positions</t>
  </si>
  <si>
    <t>arm consumable fuel</t>
  </si>
  <si>
    <t>std used</t>
  </si>
  <si>
    <t>Pilot</t>
  </si>
  <si>
    <t xml:space="preserve"> total endurance in hr if: </t>
  </si>
  <si>
    <t>Left front seat,  34"-46" * (37 mostly used )</t>
  </si>
  <si>
    <t>Right front seat,  34"-46" * (37 mostly used )</t>
  </si>
  <si>
    <t>Based on POH chapter 6, Cessna 172R</t>
  </si>
  <si>
    <t>Baggage station 1, 82"-108" * mostly used 95"</t>
  </si>
  <si>
    <t>Baggage station 2, 108"-142" * mostly used 123"</t>
  </si>
  <si>
    <r>
      <t xml:space="preserve">Fill in the fuel consumption you expect for </t>
    </r>
    <r>
      <rPr>
        <i/>
        <sz val="10"/>
        <color rgb="FFFF0000"/>
        <rFont val="Arial"/>
        <family val="2"/>
      </rPr>
      <t>indication</t>
    </r>
    <r>
      <rPr>
        <i/>
        <sz val="10"/>
        <color theme="3" tint="-0.499984740745262"/>
        <rFont val="Arial"/>
        <family val="2"/>
      </rPr>
      <t xml:space="preserve"> </t>
    </r>
    <r>
      <rPr>
        <sz val="10"/>
        <color theme="3" tint="-0.499984740745262"/>
        <rFont val="Arial"/>
        <family val="2"/>
      </rPr>
      <t>of the achievable endurance</t>
    </r>
  </si>
  <si>
    <t>together max 54 kg!</t>
  </si>
  <si>
    <t>Weight&amp;Balance calculation PH-STW       Version 14-05-2016, V7</t>
  </si>
  <si>
    <t>Fill in the thin-green fields, and stay within the POH limits.
This document provides supportive guidelines for weight and balance calculations, make sure you use and follow the current POH issue.
This document is subject to change without notice!
You may use this spreadsheet on your own responsibility &amp; risk.</t>
  </si>
  <si>
    <t>Tester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</si>
</sst>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0.0"/>
    <numFmt numFmtId="166" formatCode="0.0000"/>
  </numFmts>
  <fonts count="25">
    <font>
      <sz val="10"/>
      <name val="Arial"/>
    </font>
    <font>
      <b/>
      <sz val="10"/>
      <name val="Arial"/>
      <family val="2"/>
    </font>
    <font>
      <sz val="14"/>
      <name val="Arial"/>
    </font>
    <font>
      <sz val="16"/>
      <name val="Arial"/>
      <family val="2"/>
    </font>
    <font>
      <b/>
      <sz val="16"/>
      <name val="Arial"/>
    </font>
    <font>
      <sz val="20"/>
      <name val="Arial"/>
    </font>
    <font>
      <sz val="10"/>
      <color theme="3" tint="-0.499984740745262"/>
      <name val="Arial"/>
      <family val="2"/>
    </font>
    <font>
      <b/>
      <sz val="10"/>
      <color rgb="FFFFFF00"/>
      <name val="Arial"/>
    </font>
    <font>
      <b/>
      <sz val="16"/>
      <color rgb="FFFF0000"/>
      <name val="Arial"/>
    </font>
    <font>
      <sz val="16"/>
      <color rgb="FF3366FF"/>
      <name val="Arial"/>
    </font>
    <font>
      <sz val="16"/>
      <color theme="0"/>
      <name val="Arial"/>
    </font>
    <font>
      <sz val="10"/>
      <name val="Arial"/>
    </font>
    <font>
      <sz val="12"/>
      <color theme="3" tint="-0.499984740745262"/>
      <name val="Arial"/>
      <family val="2"/>
    </font>
    <font>
      <b/>
      <i/>
      <sz val="12"/>
      <color rgb="FFFF0000"/>
      <name val="Arial"/>
      <family val="2"/>
    </font>
    <font>
      <b/>
      <i/>
      <sz val="20"/>
      <color theme="3" tint="-0.499984740745262"/>
      <name val="Arial"/>
      <family val="2"/>
    </font>
    <font>
      <sz val="20"/>
      <name val="Arial"/>
      <family val="2"/>
    </font>
    <font>
      <b/>
      <sz val="10"/>
      <color theme="3" tint="-0.499984740745262"/>
      <name val="Arial"/>
      <family val="2"/>
    </font>
    <font>
      <i/>
      <sz val="10"/>
      <color theme="3" tint="-0.499984740745262"/>
      <name val="Arial"/>
      <family val="2"/>
    </font>
    <font>
      <b/>
      <sz val="10"/>
      <color rgb="FFFF0000"/>
      <name val="Arial"/>
      <family val="2"/>
    </font>
    <font>
      <sz val="10"/>
      <color theme="0"/>
      <name val="Arial"/>
      <family val="2"/>
    </font>
    <font>
      <i/>
      <sz val="10"/>
      <color rgb="FFFF0000"/>
      <name val="Arial"/>
      <family val="2"/>
    </font>
    <font>
      <b/>
      <sz val="13"/>
      <color rgb="FFFF0000"/>
      <name val="Arial"/>
      <family val="2"/>
    </font>
    <font>
      <i/>
      <sz val="20"/>
      <color rgb="FF002060"/>
      <name val="Arial"/>
      <family val="2"/>
    </font>
    <font>
      <sz val="14"/>
      <name val="Arial"/>
      <family val="2"/>
    </font>
    <font>
      <sz val="14"/>
      <name val="Zapf Dingbats"/>
      <family val="2"/>
    </font>
  </fonts>
  <fills count="11">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3366FF"/>
        <bgColor indexed="64"/>
      </patternFill>
    </fill>
    <fill>
      <patternFill patternType="solid">
        <fgColor theme="3" tint="0.79998168889431442"/>
        <bgColor indexed="64"/>
      </patternFill>
    </fill>
    <fill>
      <patternFill patternType="solid">
        <fgColor rgb="FF0BFF0B"/>
        <bgColor indexed="64"/>
      </patternFill>
    </fill>
    <fill>
      <patternFill patternType="solid">
        <fgColor rgb="FFFFFF00"/>
        <bgColor rgb="FF000000"/>
      </patternFill>
    </fill>
    <fill>
      <patternFill patternType="solid">
        <fgColor rgb="FFCCFFCC"/>
        <bgColor rgb="FF000000"/>
      </patternFill>
    </fill>
    <fill>
      <patternFill patternType="solid">
        <fgColor rgb="FF11FE1C"/>
        <bgColor indexed="64"/>
      </patternFill>
    </fill>
    <fill>
      <patternFill patternType="solid">
        <fgColor theme="3" tint="0.59999389629810485"/>
        <bgColor indexed="64"/>
      </patternFill>
    </fill>
  </fills>
  <borders count="58">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thin">
        <color auto="1"/>
      </right>
      <top/>
      <bottom/>
      <diagonal/>
    </border>
    <border>
      <left style="medium">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thin">
        <color auto="1"/>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indexed="64"/>
      </right>
      <top/>
      <bottom style="thin">
        <color auto="1"/>
      </bottom>
      <diagonal/>
    </border>
  </borders>
  <cellStyleXfs count="2">
    <xf numFmtId="0" fontId="0" fillId="0" borderId="0"/>
    <xf numFmtId="164" fontId="11" fillId="0" borderId="0" applyFont="0" applyFill="0" applyBorder="0" applyAlignment="0" applyProtection="0"/>
  </cellStyleXfs>
  <cellXfs count="311">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applyAlignment="1">
      <alignment horizontal="center"/>
    </xf>
    <xf numFmtId="0" fontId="0" fillId="0" borderId="7" xfId="0" applyBorder="1"/>
    <xf numFmtId="0" fontId="0" fillId="0" borderId="8" xfId="0" applyBorder="1"/>
    <xf numFmtId="0" fontId="0" fillId="0" borderId="9" xfId="0" applyBorder="1"/>
    <xf numFmtId="0" fontId="0" fillId="0" borderId="11" xfId="0" applyBorder="1" applyAlignment="1">
      <alignment horizontal="center" vertical="center"/>
    </xf>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xf numFmtId="0" fontId="0" fillId="0" borderId="17" xfId="0" applyBorder="1" applyAlignment="1">
      <alignment horizontal="center" vertical="center"/>
    </xf>
    <xf numFmtId="0" fontId="0" fillId="0" borderId="0" xfId="0" applyBorder="1" applyAlignment="1">
      <alignment horizontal="center" vertical="center"/>
    </xf>
    <xf numFmtId="2" fontId="0" fillId="0" borderId="1" xfId="0" applyNumberFormat="1" applyBorder="1"/>
    <xf numFmtId="2" fontId="0" fillId="0" borderId="3" xfId="0" applyNumberFormat="1" applyBorder="1"/>
    <xf numFmtId="2" fontId="0" fillId="0" borderId="5" xfId="0" applyNumberFormat="1" applyBorder="1"/>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3" fillId="0" borderId="0" xfId="0" applyFont="1" applyBorder="1"/>
    <xf numFmtId="0" fontId="0" fillId="0" borderId="1" xfId="0" applyBorder="1" applyAlignment="1">
      <alignment horizontal="left" vertical="center"/>
    </xf>
    <xf numFmtId="0" fontId="1" fillId="0" borderId="1" xfId="0" applyFont="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2" fontId="0" fillId="0" borderId="0" xfId="0" applyNumberFormat="1" applyBorder="1" applyAlignment="1">
      <alignment horizontal="center" vertical="center"/>
    </xf>
    <xf numFmtId="0" fontId="6" fillId="2" borderId="0" xfId="0" applyFont="1" applyFill="1" applyBorder="1" applyAlignment="1">
      <alignment horizontal="left"/>
    </xf>
    <xf numFmtId="0" fontId="0" fillId="2" borderId="0" xfId="0" applyFill="1" applyBorder="1"/>
    <xf numFmtId="2" fontId="0" fillId="0" borderId="0" xfId="0" applyNumberFormat="1" applyFill="1" applyBorder="1" applyAlignment="1">
      <alignment horizontal="center" vertical="center"/>
    </xf>
    <xf numFmtId="0" fontId="1" fillId="0" borderId="3" xfId="0" applyFont="1" applyBorder="1" applyAlignment="1">
      <alignment horizontal="left" vertical="center"/>
    </xf>
    <xf numFmtId="2" fontId="0" fillId="0" borderId="4" xfId="0" applyNumberFormat="1" applyBorder="1" applyAlignment="1">
      <alignment horizontal="center" vertical="center"/>
    </xf>
    <xf numFmtId="2" fontId="7" fillId="0" borderId="4" xfId="0" applyNumberFormat="1" applyFont="1" applyFill="1" applyBorder="1" applyAlignment="1">
      <alignment horizontal="center" vertical="center"/>
    </xf>
    <xf numFmtId="2" fontId="6" fillId="0" borderId="27" xfId="0" applyNumberFormat="1" applyFont="1" applyFill="1" applyBorder="1" applyAlignment="1">
      <alignment horizontal="center" vertical="center"/>
    </xf>
    <xf numFmtId="2" fontId="0" fillId="0" borderId="27" xfId="0" applyNumberFormat="1" applyBorder="1" applyAlignment="1">
      <alignment horizontal="center" vertical="center"/>
    </xf>
    <xf numFmtId="2" fontId="6" fillId="0" borderId="1" xfId="0" applyNumberFormat="1" applyFont="1" applyBorder="1" applyAlignment="1">
      <alignment horizontal="center" vertical="center"/>
    </xf>
    <xf numFmtId="2" fontId="0" fillId="0" borderId="1" xfId="0" applyNumberFormat="1" applyBorder="1" applyAlignment="1">
      <alignment horizontal="center" vertical="center"/>
    </xf>
    <xf numFmtId="2" fontId="0" fillId="0" borderId="18" xfId="0" applyNumberFormat="1"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0" fillId="0" borderId="0" xfId="0" applyAlignment="1">
      <alignment horizontal="left" vertical="center"/>
    </xf>
    <xf numFmtId="0" fontId="9" fillId="0" borderId="13" xfId="0" applyFont="1" applyBorder="1"/>
    <xf numFmtId="0" fontId="2" fillId="0" borderId="13" xfId="0" applyFont="1" applyBorder="1" applyAlignment="1">
      <alignment horizontal="center" vertical="center"/>
    </xf>
    <xf numFmtId="166"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0" fontId="0" fillId="0" borderId="2" xfId="0" applyBorder="1" applyAlignment="1">
      <alignment horizontal="center" vertical="center"/>
    </xf>
    <xf numFmtId="2" fontId="0" fillId="0" borderId="27" xfId="0" applyNumberFormat="1" applyFill="1" applyBorder="1" applyAlignment="1">
      <alignment horizontal="center" vertic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2" fontId="0" fillId="0" borderId="1" xfId="0" applyNumberFormat="1"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xf>
    <xf numFmtId="0" fontId="0" fillId="3" borderId="17" xfId="0" applyFill="1" applyBorder="1" applyAlignment="1">
      <alignment horizontal="center" vertical="center"/>
    </xf>
    <xf numFmtId="2" fontId="7"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xf>
    <xf numFmtId="0" fontId="0" fillId="0" borderId="6" xfId="0" applyBorder="1" applyAlignment="1">
      <alignment horizontal="center" wrapText="1"/>
    </xf>
    <xf numFmtId="2" fontId="0" fillId="0" borderId="1" xfId="0" applyNumberFormat="1" applyBorder="1" applyAlignment="1">
      <alignment horizontal="center"/>
    </xf>
    <xf numFmtId="2" fontId="0" fillId="0" borderId="3" xfId="0" applyNumberFormat="1" applyBorder="1" applyAlignment="1">
      <alignment horizontal="center"/>
    </xf>
    <xf numFmtId="0" fontId="0" fillId="0" borderId="17" xfId="0" applyBorder="1" applyAlignment="1">
      <alignment horizontal="center" wrapText="1"/>
    </xf>
    <xf numFmtId="2" fontId="0" fillId="0" borderId="27" xfId="0" applyNumberFormat="1" applyBorder="1" applyAlignment="1">
      <alignment horizontal="center"/>
    </xf>
    <xf numFmtId="2" fontId="0" fillId="0" borderId="19" xfId="0" applyNumberFormat="1" applyBorder="1" applyAlignment="1">
      <alignment horizontal="center"/>
    </xf>
    <xf numFmtId="2" fontId="0" fillId="0" borderId="27" xfId="0" applyNumberFormat="1" applyBorder="1"/>
    <xf numFmtId="2" fontId="0" fillId="0" borderId="19" xfId="0" applyNumberFormat="1" applyBorder="1"/>
    <xf numFmtId="2" fontId="0" fillId="0" borderId="13" xfId="0" applyNumberFormat="1" applyBorder="1"/>
    <xf numFmtId="2" fontId="0" fillId="0" borderId="18" xfId="0" applyNumberFormat="1" applyBorder="1"/>
    <xf numFmtId="2" fontId="0" fillId="0" borderId="0" xfId="0" applyNumberFormat="1" applyBorder="1" applyAlignment="1">
      <alignment horizontal="center"/>
    </xf>
    <xf numFmtId="0" fontId="0" fillId="0" borderId="28" xfId="0" applyBorder="1"/>
    <xf numFmtId="0" fontId="0" fillId="0" borderId="28" xfId="0" applyBorder="1" applyAlignment="1">
      <alignment horizontal="center" vertical="center"/>
    </xf>
    <xf numFmtId="0" fontId="3" fillId="0" borderId="1" xfId="0" applyFont="1" applyBorder="1" applyAlignment="1">
      <alignment horizontal="center" vertical="center"/>
    </xf>
    <xf numFmtId="0" fontId="3" fillId="0" borderId="2" xfId="0" applyFont="1" applyBorder="1"/>
    <xf numFmtId="0" fontId="3" fillId="0" borderId="0" xfId="0" applyFont="1" applyFill="1" applyBorder="1"/>
    <xf numFmtId="0" fontId="3" fillId="4" borderId="6" xfId="0" applyFont="1" applyFill="1" applyBorder="1" applyAlignment="1">
      <alignment horizontal="right" vertical="center"/>
    </xf>
    <xf numFmtId="0" fontId="8" fillId="4" borderId="28" xfId="0" applyFont="1" applyFill="1" applyBorder="1" applyAlignment="1">
      <alignment horizontal="right" vertical="center"/>
    </xf>
    <xf numFmtId="0" fontId="3" fillId="4" borderId="28" xfId="0" applyFont="1" applyFill="1" applyBorder="1" applyAlignment="1">
      <alignment vertical="center"/>
    </xf>
    <xf numFmtId="0" fontId="3" fillId="4" borderId="28" xfId="0" applyFont="1" applyFill="1" applyBorder="1"/>
    <xf numFmtId="1" fontId="3" fillId="4" borderId="6" xfId="0" applyNumberFormat="1" applyFont="1" applyFill="1" applyBorder="1" applyAlignment="1">
      <alignment horizontal="right" vertical="center"/>
    </xf>
    <xf numFmtId="0" fontId="3" fillId="0" borderId="3" xfId="0" applyFont="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xf numFmtId="1" fontId="3" fillId="4" borderId="17" xfId="0" applyNumberFormat="1" applyFont="1" applyFill="1" applyBorder="1" applyAlignment="1">
      <alignment horizontal="center" vertical="center"/>
    </xf>
    <xf numFmtId="2" fontId="10" fillId="4" borderId="18" xfId="0" applyNumberFormat="1" applyFont="1" applyFill="1" applyBorder="1" applyAlignment="1">
      <alignment horizontal="center" vertical="center"/>
    </xf>
    <xf numFmtId="2" fontId="0" fillId="0" borderId="0" xfId="0" applyNumberFormat="1" applyBorder="1"/>
    <xf numFmtId="0" fontId="0" fillId="0" borderId="0" xfId="0" quotePrefix="1" applyBorder="1"/>
    <xf numFmtId="2" fontId="6" fillId="0" borderId="0" xfId="0" applyNumberFormat="1" applyFont="1" applyFill="1" applyBorder="1" applyAlignment="1">
      <alignment horizontal="center" vertical="center"/>
    </xf>
    <xf numFmtId="0" fontId="9" fillId="0" borderId="1" xfId="0" applyFont="1" applyBorder="1"/>
    <xf numFmtId="0" fontId="1" fillId="0" borderId="28" xfId="0" applyFont="1" applyBorder="1" applyAlignment="1">
      <alignment horizontal="left" vertical="center"/>
    </xf>
    <xf numFmtId="0" fontId="0" fillId="0" borderId="28" xfId="0" applyFill="1" applyBorder="1" applyAlignment="1">
      <alignment horizontal="center" vertical="center"/>
    </xf>
    <xf numFmtId="2" fontId="0" fillId="0" borderId="28" xfId="0" applyNumberFormat="1" applyFill="1" applyBorder="1" applyAlignment="1">
      <alignment horizontal="center" vertical="center"/>
    </xf>
    <xf numFmtId="2" fontId="0" fillId="0" borderId="28" xfId="0" applyNumberFormat="1" applyBorder="1" applyAlignment="1">
      <alignment horizontal="center" vertical="center"/>
    </xf>
    <xf numFmtId="2" fontId="0" fillId="0" borderId="13" xfId="0" applyNumberFormat="1" applyBorder="1" applyAlignment="1">
      <alignment horizontal="center"/>
    </xf>
    <xf numFmtId="2" fontId="0" fillId="0" borderId="18" xfId="0" applyNumberFormat="1" applyBorder="1" applyAlignment="1">
      <alignment horizontal="center"/>
    </xf>
    <xf numFmtId="2" fontId="7" fillId="10" borderId="17" xfId="0" applyNumberFormat="1" applyFont="1" applyFill="1" applyBorder="1" applyAlignment="1">
      <alignment horizontal="center" vertical="center"/>
    </xf>
    <xf numFmtId="0" fontId="0" fillId="0" borderId="13" xfId="0" applyBorder="1" applyAlignment="1">
      <alignment horizontal="left" vertical="center"/>
    </xf>
    <xf numFmtId="0" fontId="3" fillId="0" borderId="0"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9"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center" vertical="center"/>
    </xf>
    <xf numFmtId="0" fontId="3" fillId="0" borderId="34"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28" xfId="0" applyFont="1" applyBorder="1" applyAlignment="1">
      <alignment horizontal="center" vertical="center"/>
    </xf>
    <xf numFmtId="0" fontId="3" fillId="0" borderId="6" xfId="0" applyFont="1" applyBorder="1"/>
    <xf numFmtId="0" fontId="3" fillId="0" borderId="16" xfId="0" applyFont="1" applyBorder="1"/>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8" xfId="0" applyFont="1" applyBorder="1"/>
    <xf numFmtId="0" fontId="0" fillId="0" borderId="14" xfId="0" applyBorder="1" applyAlignment="1">
      <alignment horizontal="center"/>
    </xf>
    <xf numFmtId="0" fontId="0" fillId="0" borderId="15" xfId="0" applyBorder="1" applyAlignment="1">
      <alignment horizontal="center" wrapText="1"/>
    </xf>
    <xf numFmtId="0" fontId="0" fillId="0" borderId="18" xfId="0" quotePrefix="1" applyFill="1" applyBorder="1" applyAlignment="1">
      <alignment horizontal="center"/>
    </xf>
    <xf numFmtId="0" fontId="0" fillId="0" borderId="18" xfId="0" quotePrefix="1" applyFill="1" applyBorder="1" applyAlignment="1">
      <alignment horizontal="center" wrapText="1"/>
    </xf>
    <xf numFmtId="0" fontId="0" fillId="0" borderId="29" xfId="0" applyBorder="1"/>
    <xf numFmtId="1" fontId="0" fillId="0" borderId="29" xfId="0" applyNumberFormat="1" applyBorder="1" applyAlignment="1">
      <alignment horizontal="center"/>
    </xf>
    <xf numFmtId="0" fontId="0" fillId="0" borderId="29" xfId="0" applyBorder="1" applyAlignment="1">
      <alignment horizontal="center"/>
    </xf>
    <xf numFmtId="0" fontId="0" fillId="0" borderId="11" xfId="0" applyBorder="1"/>
    <xf numFmtId="1" fontId="0" fillId="0" borderId="11" xfId="0" applyNumberFormat="1" applyBorder="1" applyAlignment="1">
      <alignment horizontal="center"/>
    </xf>
    <xf numFmtId="0" fontId="0" fillId="0" borderId="34" xfId="0" applyBorder="1"/>
    <xf numFmtId="0" fontId="0" fillId="0" borderId="35" xfId="0" applyBorder="1"/>
    <xf numFmtId="0" fontId="0" fillId="0" borderId="12" xfId="0" applyBorder="1"/>
    <xf numFmtId="0" fontId="3" fillId="4" borderId="4" xfId="0" applyFont="1" applyFill="1" applyBorder="1"/>
    <xf numFmtId="1" fontId="3" fillId="4" borderId="16" xfId="0" applyNumberFormat="1" applyFont="1" applyFill="1" applyBorder="1" applyAlignment="1">
      <alignment horizontal="center" vertical="center"/>
    </xf>
    <xf numFmtId="0" fontId="12" fillId="4" borderId="6" xfId="0" applyFont="1" applyFill="1" applyBorder="1" applyAlignment="1">
      <alignment horizontal="left" vertical="center"/>
    </xf>
    <xf numFmtId="0" fontId="4" fillId="0" borderId="0" xfId="0" applyFont="1" applyBorder="1" applyAlignment="1">
      <alignment horizontal="left" vertical="center"/>
    </xf>
    <xf numFmtId="0" fontId="15" fillId="5" borderId="28" xfId="0" applyFont="1" applyFill="1" applyBorder="1" applyAlignment="1">
      <alignment horizontal="center"/>
    </xf>
    <xf numFmtId="0" fontId="14" fillId="5" borderId="6" xfId="0" applyFont="1" applyFill="1" applyBorder="1" applyAlignment="1">
      <alignment vertical="center" wrapText="1"/>
    </xf>
    <xf numFmtId="0" fontId="15" fillId="5" borderId="28" xfId="0" applyFont="1" applyFill="1" applyBorder="1" applyAlignment="1"/>
    <xf numFmtId="0" fontId="6" fillId="0" borderId="28" xfId="0" applyFont="1" applyBorder="1" applyAlignment="1">
      <alignment horizontal="center"/>
    </xf>
    <xf numFmtId="0" fontId="6" fillId="0" borderId="0" xfId="0" applyFont="1"/>
    <xf numFmtId="0" fontId="6" fillId="0" borderId="1" xfId="0" applyFont="1" applyBorder="1" applyAlignment="1">
      <alignment horizontal="center" vertical="center"/>
    </xf>
    <xf numFmtId="0" fontId="16" fillId="0" borderId="16"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vertical="center"/>
    </xf>
    <xf numFmtId="0" fontId="6" fillId="0" borderId="28" xfId="0" applyFont="1" applyBorder="1" applyAlignment="1"/>
    <xf numFmtId="0" fontId="16" fillId="0" borderId="50" xfId="0" applyFont="1" applyBorder="1" applyAlignment="1">
      <alignment horizontal="center" vertical="center"/>
    </xf>
    <xf numFmtId="0" fontId="16" fillId="0" borderId="45" xfId="0" applyFont="1" applyFill="1" applyBorder="1" applyAlignment="1">
      <alignment horizontal="center" vertical="center"/>
    </xf>
    <xf numFmtId="0" fontId="6" fillId="0" borderId="0" xfId="0" applyFont="1" applyBorder="1"/>
    <xf numFmtId="0" fontId="6" fillId="0" borderId="39" xfId="0" applyFont="1" applyBorder="1" applyAlignment="1">
      <alignment horizontal="left" vertical="center"/>
    </xf>
    <xf numFmtId="1" fontId="6" fillId="3" borderId="33" xfId="0" applyNumberFormat="1" applyFont="1" applyFill="1" applyBorder="1" applyAlignment="1" applyProtection="1">
      <alignment horizontal="center" vertical="center"/>
      <protection locked="0"/>
    </xf>
    <xf numFmtId="1" fontId="6" fillId="8" borderId="46" xfId="0" applyNumberFormat="1" applyFont="1" applyFill="1" applyBorder="1" applyAlignment="1" applyProtection="1">
      <alignment horizontal="center" vertical="center"/>
      <protection locked="0"/>
    </xf>
    <xf numFmtId="0" fontId="16" fillId="0" borderId="29" xfId="0" applyFont="1" applyFill="1" applyBorder="1" applyAlignment="1">
      <alignment horizontal="center" vertical="center"/>
    </xf>
    <xf numFmtId="1" fontId="6" fillId="0" borderId="46" xfId="0" applyNumberFormat="1" applyFont="1" applyBorder="1" applyAlignment="1">
      <alignment horizontal="center" vertical="center"/>
    </xf>
    <xf numFmtId="0" fontId="6" fillId="0" borderId="41" xfId="0" applyFont="1" applyBorder="1" applyAlignment="1">
      <alignment horizontal="left" vertical="center"/>
    </xf>
    <xf numFmtId="1" fontId="6" fillId="3" borderId="25" xfId="0" applyNumberFormat="1" applyFont="1" applyFill="1" applyBorder="1" applyAlignment="1" applyProtection="1">
      <alignment horizontal="center" vertical="center"/>
      <protection locked="0"/>
    </xf>
    <xf numFmtId="1" fontId="6" fillId="0" borderId="47" xfId="0" applyNumberFormat="1" applyFont="1" applyBorder="1" applyAlignment="1">
      <alignment horizontal="center" vertical="center"/>
    </xf>
    <xf numFmtId="0" fontId="6" fillId="0" borderId="42" xfId="0" applyFont="1" applyBorder="1" applyAlignment="1">
      <alignment horizontal="left" vertical="center" wrapText="1"/>
    </xf>
    <xf numFmtId="1" fontId="6" fillId="3" borderId="50" xfId="0" applyNumberFormat="1" applyFont="1" applyFill="1" applyBorder="1" applyAlignment="1" applyProtection="1">
      <alignment horizontal="center" vertical="center"/>
      <protection locked="0"/>
    </xf>
    <xf numFmtId="1" fontId="6" fillId="8" borderId="45" xfId="0" applyNumberFormat="1" applyFont="1" applyFill="1" applyBorder="1" applyAlignment="1" applyProtection="1">
      <alignment horizontal="center" vertical="center"/>
      <protection locked="0"/>
    </xf>
    <xf numFmtId="0" fontId="16" fillId="0" borderId="44" xfId="0" applyFont="1" applyFill="1" applyBorder="1" applyAlignment="1">
      <alignment horizontal="center" vertical="center"/>
    </xf>
    <xf numFmtId="0" fontId="6" fillId="0" borderId="39" xfId="0" applyFont="1" applyBorder="1" applyAlignment="1">
      <alignment horizontal="left" vertical="center" wrapText="1"/>
    </xf>
    <xf numFmtId="0" fontId="6" fillId="0" borderId="41" xfId="0" applyFont="1" applyBorder="1" applyAlignment="1">
      <alignment horizontal="right" vertical="center"/>
    </xf>
    <xf numFmtId="1" fontId="6" fillId="0" borderId="25" xfId="0" applyNumberFormat="1" applyFont="1" applyFill="1" applyBorder="1" applyAlignment="1">
      <alignment horizontal="center" vertical="center"/>
    </xf>
    <xf numFmtId="0" fontId="6" fillId="0" borderId="47" xfId="0" applyFont="1" applyBorder="1"/>
    <xf numFmtId="0" fontId="6" fillId="0" borderId="42" xfId="0" applyFont="1" applyBorder="1" applyAlignment="1">
      <alignment horizontal="center" vertical="center"/>
    </xf>
    <xf numFmtId="0" fontId="6" fillId="0" borderId="50" xfId="0" applyFont="1" applyBorder="1" applyAlignment="1">
      <alignment horizontal="center" vertical="center"/>
    </xf>
    <xf numFmtId="0" fontId="6" fillId="0" borderId="45" xfId="0" applyFont="1" applyBorder="1" applyAlignment="1">
      <alignment horizontal="center" vertical="center"/>
    </xf>
    <xf numFmtId="0" fontId="6" fillId="3" borderId="44" xfId="0" applyFont="1" applyFill="1" applyBorder="1" applyAlignment="1" applyProtection="1">
      <alignment horizontal="center" vertical="center"/>
      <protection locked="0"/>
    </xf>
    <xf numFmtId="0" fontId="6" fillId="3" borderId="36" xfId="0" applyNumberFormat="1" applyFont="1" applyFill="1" applyBorder="1" applyAlignment="1" applyProtection="1">
      <alignment horizontal="center" vertical="center"/>
      <protection locked="0"/>
    </xf>
    <xf numFmtId="1" fontId="6" fillId="0" borderId="48" xfId="0" applyNumberFormat="1" applyFont="1" applyBorder="1" applyAlignment="1">
      <alignment horizontal="center" vertical="center"/>
    </xf>
    <xf numFmtId="165" fontId="6" fillId="5" borderId="26" xfId="0" applyNumberFormat="1" applyFont="1" applyFill="1" applyBorder="1" applyAlignment="1">
      <alignment horizontal="right" vertical="center"/>
    </xf>
    <xf numFmtId="0" fontId="6" fillId="5" borderId="51" xfId="0" applyFont="1" applyFill="1" applyBorder="1" applyAlignment="1">
      <alignment horizontal="left" vertical="center"/>
    </xf>
    <xf numFmtId="1" fontId="6" fillId="0" borderId="1" xfId="0" applyNumberFormat="1" applyFont="1" applyBorder="1" applyAlignment="1">
      <alignment horizontal="right" vertical="center"/>
    </xf>
    <xf numFmtId="1" fontId="6" fillId="0" borderId="17" xfId="0" applyNumberFormat="1" applyFont="1" applyFill="1" applyBorder="1" applyAlignment="1">
      <alignment horizontal="center" vertical="center"/>
    </xf>
    <xf numFmtId="0" fontId="6" fillId="0" borderId="28" xfId="0" applyFont="1" applyBorder="1" applyAlignment="1">
      <alignment horizontal="center" vertical="center"/>
    </xf>
    <xf numFmtId="1" fontId="6" fillId="0" borderId="1" xfId="0" applyNumberFormat="1" applyFont="1" applyFill="1" applyBorder="1" applyAlignment="1">
      <alignment horizontal="right" vertical="center"/>
    </xf>
    <xf numFmtId="2" fontId="6" fillId="0" borderId="32" xfId="0" applyNumberFormat="1" applyFont="1" applyFill="1" applyBorder="1" applyAlignment="1">
      <alignment horizontal="center" vertical="center"/>
    </xf>
    <xf numFmtId="0" fontId="6" fillId="0" borderId="49" xfId="0" applyFont="1" applyFill="1" applyBorder="1" applyAlignment="1">
      <alignment horizontal="center" vertical="center"/>
    </xf>
    <xf numFmtId="0" fontId="6" fillId="0" borderId="0" xfId="0" applyFont="1" applyFill="1" applyBorder="1"/>
    <xf numFmtId="0" fontId="6" fillId="0" borderId="1" xfId="0" applyFont="1" applyFill="1" applyBorder="1" applyAlignment="1">
      <alignment horizontal="right" vertical="center"/>
    </xf>
    <xf numFmtId="0" fontId="6" fillId="3" borderId="25" xfId="0" applyFont="1" applyFill="1" applyBorder="1" applyAlignment="1" applyProtection="1">
      <alignment horizontal="center" vertical="center"/>
      <protection locked="0"/>
    </xf>
    <xf numFmtId="0" fontId="6" fillId="0" borderId="47" xfId="0" applyFont="1" applyFill="1" applyBorder="1" applyAlignment="1">
      <alignment horizontal="center" vertical="center"/>
    </xf>
    <xf numFmtId="0" fontId="6" fillId="0" borderId="0" xfId="0" applyFont="1" applyFill="1" applyBorder="1" applyAlignment="1">
      <alignment horizontal="left" vertical="center"/>
    </xf>
    <xf numFmtId="0" fontId="18" fillId="0" borderId="40"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44" xfId="0" applyFont="1" applyFill="1" applyBorder="1" applyAlignment="1">
      <alignment horizontal="left" vertical="center"/>
    </xf>
    <xf numFmtId="0" fontId="18" fillId="0" borderId="29" xfId="0" applyFont="1" applyFill="1" applyBorder="1" applyAlignment="1">
      <alignment horizontal="left" vertical="center"/>
    </xf>
    <xf numFmtId="0" fontId="15" fillId="5" borderId="16" xfId="0" applyFont="1" applyFill="1" applyBorder="1" applyAlignment="1"/>
    <xf numFmtId="0" fontId="15" fillId="5" borderId="16" xfId="0" applyFont="1" applyFill="1" applyBorder="1" applyAlignment="1">
      <alignment horizontal="center"/>
    </xf>
    <xf numFmtId="0" fontId="6" fillId="0" borderId="16" xfId="0" applyFont="1" applyBorder="1" applyAlignment="1">
      <alignment horizontal="center"/>
    </xf>
    <xf numFmtId="0" fontId="6" fillId="0" borderId="16" xfId="0" applyFont="1" applyBorder="1" applyAlignment="1"/>
    <xf numFmtId="0" fontId="6" fillId="0" borderId="2" xfId="0" applyFont="1" applyBorder="1"/>
    <xf numFmtId="164" fontId="6" fillId="0" borderId="2" xfId="1" applyFont="1" applyBorder="1"/>
    <xf numFmtId="1" fontId="19" fillId="0" borderId="2" xfId="0" applyNumberFormat="1" applyFont="1" applyFill="1" applyBorder="1" applyAlignment="1">
      <alignment horizontal="center" vertical="center"/>
    </xf>
    <xf numFmtId="1" fontId="10" fillId="4" borderId="16" xfId="0" applyNumberFormat="1" applyFont="1" applyFill="1" applyBorder="1" applyAlignment="1">
      <alignment horizontal="center" vertical="center"/>
    </xf>
    <xf numFmtId="0" fontId="6" fillId="5" borderId="57" xfId="0" applyFont="1" applyFill="1" applyBorder="1" applyAlignment="1">
      <alignment vertical="center"/>
    </xf>
    <xf numFmtId="0" fontId="3" fillId="4" borderId="5" xfId="0" applyFont="1" applyFill="1" applyBorder="1"/>
    <xf numFmtId="0" fontId="6" fillId="0" borderId="2" xfId="0" applyFont="1" applyFill="1" applyBorder="1"/>
    <xf numFmtId="0" fontId="6" fillId="0" borderId="2" xfId="0" applyFont="1" applyFill="1" applyBorder="1" applyAlignment="1">
      <alignment horizontal="left" vertical="center"/>
    </xf>
    <xf numFmtId="0" fontId="6" fillId="0" borderId="3" xfId="0" applyFont="1" applyFill="1" applyBorder="1" applyAlignment="1">
      <alignment horizontal="right" vertical="center"/>
    </xf>
    <xf numFmtId="0" fontId="6" fillId="0" borderId="16"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Fill="1"/>
    <xf numFmtId="0" fontId="19" fillId="0" borderId="0" xfId="0" applyFont="1" applyFill="1"/>
    <xf numFmtId="0" fontId="6" fillId="0" borderId="28" xfId="0" applyFont="1" applyBorder="1" applyAlignment="1">
      <alignment horizontal="left" vertical="center"/>
    </xf>
    <xf numFmtId="0" fontId="15" fillId="5" borderId="14" xfId="0" applyFont="1" applyFill="1" applyBorder="1" applyAlignment="1">
      <alignment horizontal="center"/>
    </xf>
    <xf numFmtId="0" fontId="6" fillId="0" borderId="6" xfId="0" applyFont="1" applyBorder="1" applyAlignment="1">
      <alignment horizontal="right" vertical="center"/>
    </xf>
    <xf numFmtId="15" fontId="6" fillId="0" borderId="16" xfId="0" applyNumberFormat="1" applyFont="1" applyBorder="1" applyAlignment="1">
      <alignment horizontal="center" vertical="center"/>
    </xf>
    <xf numFmtId="0" fontId="6" fillId="0" borderId="28" xfId="0" applyFont="1" applyBorder="1"/>
    <xf numFmtId="0" fontId="22" fillId="5" borderId="13" xfId="0" applyFont="1" applyFill="1" applyBorder="1" applyAlignment="1"/>
    <xf numFmtId="0" fontId="6" fillId="3" borderId="18" xfId="0" applyFont="1" applyFill="1" applyBorder="1" applyAlignment="1">
      <alignment horizontal="left" vertical="center"/>
    </xf>
    <xf numFmtId="0" fontId="3" fillId="3" borderId="27" xfId="0" applyFont="1" applyFill="1" applyBorder="1" applyAlignment="1">
      <alignment horizontal="center" vertical="center"/>
    </xf>
    <xf numFmtId="0" fontId="6" fillId="3" borderId="19" xfId="0" applyFont="1" applyFill="1" applyBorder="1" applyAlignment="1" applyProtection="1">
      <alignment horizontal="left" vertical="center"/>
      <protection locked="0"/>
    </xf>
    <xf numFmtId="1" fontId="3" fillId="4" borderId="17" xfId="0" applyNumberFormat="1" applyFont="1" applyFill="1" applyBorder="1" applyAlignment="1" applyProtection="1">
      <alignment horizontal="center" vertical="center"/>
    </xf>
    <xf numFmtId="1" fontId="6" fillId="0" borderId="6" xfId="0" applyNumberFormat="1" applyFont="1" applyFill="1" applyBorder="1" applyAlignment="1">
      <alignment horizontal="center" vertical="center"/>
    </xf>
    <xf numFmtId="1" fontId="6" fillId="0" borderId="6" xfId="0" applyNumberFormat="1" applyFont="1" applyFill="1" applyBorder="1" applyAlignment="1">
      <alignment horizontal="right" vertical="center"/>
    </xf>
    <xf numFmtId="0" fontId="23" fillId="0" borderId="0" xfId="0" applyFont="1" applyAlignment="1">
      <alignment vertical="center"/>
    </xf>
    <xf numFmtId="0" fontId="23" fillId="0" borderId="6" xfId="0" applyFont="1" applyBorder="1" applyAlignment="1">
      <alignment horizontal="left" vertical="center"/>
    </xf>
    <xf numFmtId="0" fontId="23" fillId="0" borderId="28" xfId="0" applyFont="1" applyBorder="1" applyAlignment="1">
      <alignment horizontal="left" vertical="center"/>
    </xf>
    <xf numFmtId="0" fontId="23" fillId="0" borderId="1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left" vertical="center"/>
    </xf>
    <xf numFmtId="0" fontId="23" fillId="0" borderId="24" xfId="0" applyFont="1" applyBorder="1" applyAlignment="1">
      <alignment horizontal="left" vertical="center"/>
    </xf>
    <xf numFmtId="0" fontId="23" fillId="0" borderId="30" xfId="0" applyFont="1" applyBorder="1" applyAlignment="1">
      <alignment horizontal="left" vertical="center"/>
    </xf>
    <xf numFmtId="0" fontId="23" fillId="0" borderId="0" xfId="0" applyFont="1" applyBorder="1" applyAlignment="1">
      <alignment horizontal="left" vertical="center"/>
    </xf>
    <xf numFmtId="0" fontId="24" fillId="0" borderId="32" xfId="0" applyFont="1" applyBorder="1" applyAlignment="1">
      <alignment horizontal="center"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4" fillId="0" borderId="33" xfId="0" applyFont="1" applyBorder="1" applyAlignment="1">
      <alignment horizontal="center" vertical="center"/>
    </xf>
    <xf numFmtId="0" fontId="23" fillId="0" borderId="33" xfId="0" applyFont="1" applyBorder="1" applyAlignment="1" applyProtection="1">
      <alignment horizontal="left" vertical="center"/>
      <protection locked="0"/>
    </xf>
    <xf numFmtId="0" fontId="23" fillId="0" borderId="31" xfId="0" applyFont="1" applyBorder="1" applyAlignment="1">
      <alignment horizontal="left" vertical="center"/>
    </xf>
    <xf numFmtId="0" fontId="24" fillId="0" borderId="0" xfId="0" applyFont="1" applyAlignment="1">
      <alignment horizontal="center" vertical="center"/>
    </xf>
    <xf numFmtId="0" fontId="24" fillId="0" borderId="25" xfId="0" applyFont="1" applyBorder="1" applyAlignment="1">
      <alignment horizontal="center" vertical="center"/>
    </xf>
    <xf numFmtId="0" fontId="23" fillId="0" borderId="26" xfId="0" applyFont="1" applyBorder="1" applyAlignment="1">
      <alignment horizontal="left" vertical="center"/>
    </xf>
    <xf numFmtId="0" fontId="23" fillId="0" borderId="23" xfId="0" applyFont="1" applyBorder="1" applyAlignment="1">
      <alignment horizontal="left" vertical="center"/>
    </xf>
    <xf numFmtId="0" fontId="23" fillId="0" borderId="25" xfId="0" applyFont="1" applyBorder="1" applyAlignment="1">
      <alignment horizontal="center" vertical="center"/>
    </xf>
    <xf numFmtId="0" fontId="23" fillId="0" borderId="36" xfId="0" applyFont="1" applyBorder="1" applyAlignment="1" applyProtection="1">
      <alignment horizontal="left" vertical="center"/>
      <protection locked="0"/>
    </xf>
    <xf numFmtId="0" fontId="23" fillId="0" borderId="9" xfId="0" applyFont="1" applyBorder="1" applyAlignment="1">
      <alignment vertical="center"/>
    </xf>
    <xf numFmtId="0" fontId="23" fillId="0" borderId="11" xfId="0" applyFont="1" applyBorder="1" applyAlignment="1">
      <alignment horizontal="left" vertical="center"/>
    </xf>
    <xf numFmtId="0" fontId="23" fillId="0" borderId="10" xfId="0" applyFont="1" applyBorder="1" applyAlignment="1">
      <alignment horizontal="right" vertical="center"/>
    </xf>
    <xf numFmtId="0" fontId="23" fillId="0" borderId="32" xfId="0" applyFont="1" applyBorder="1" applyAlignment="1">
      <alignment horizontal="center" vertical="center"/>
    </xf>
    <xf numFmtId="0" fontId="23" fillId="0" borderId="14" xfId="0" applyFont="1" applyBorder="1" applyAlignment="1" applyProtection="1">
      <alignment vertical="center"/>
      <protection locked="0"/>
    </xf>
    <xf numFmtId="0" fontId="23" fillId="0" borderId="34" xfId="0" applyFont="1" applyBorder="1" applyAlignment="1">
      <alignment vertical="center"/>
    </xf>
    <xf numFmtId="0" fontId="23" fillId="0" borderId="29" xfId="0" applyFont="1" applyBorder="1" applyAlignment="1">
      <alignment vertical="center"/>
    </xf>
    <xf numFmtId="0" fontId="23" fillId="0" borderId="35" xfId="0" applyFont="1" applyBorder="1" applyAlignment="1">
      <alignment horizontal="right" vertical="center"/>
    </xf>
    <xf numFmtId="0" fontId="23" fillId="0" borderId="33"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3" fillId="0" borderId="7" xfId="0" applyFont="1" applyBorder="1" applyAlignment="1">
      <alignment vertical="center"/>
    </xf>
    <xf numFmtId="0" fontId="23" fillId="0" borderId="12" xfId="0" applyFont="1" applyBorder="1" applyAlignment="1">
      <alignment vertical="center"/>
    </xf>
    <xf numFmtId="0" fontId="23" fillId="0" borderId="8" xfId="0" applyFont="1" applyBorder="1" applyAlignment="1">
      <alignment horizontal="right" vertical="center"/>
    </xf>
    <xf numFmtId="0" fontId="23" fillId="0" borderId="36" xfId="0" applyFont="1" applyBorder="1" applyAlignment="1" applyProtection="1">
      <alignment horizontal="center" vertical="center"/>
      <protection locked="0"/>
    </xf>
    <xf numFmtId="14" fontId="23" fillId="0" borderId="29" xfId="0" applyNumberFormat="1" applyFont="1" applyBorder="1" applyAlignment="1" applyProtection="1">
      <alignment vertical="center"/>
      <protection locked="0"/>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16" fillId="0" borderId="54" xfId="0" applyFont="1" applyBorder="1" applyAlignment="1">
      <alignment horizontal="right" vertical="center"/>
    </xf>
    <xf numFmtId="0" fontId="6" fillId="0" borderId="55" xfId="0" applyFont="1" applyBorder="1" applyAlignment="1">
      <alignment vertical="center"/>
    </xf>
    <xf numFmtId="0" fontId="6" fillId="5" borderId="52" xfId="0" applyFont="1" applyFill="1" applyBorder="1" applyAlignment="1">
      <alignment horizontal="right" vertical="center"/>
    </xf>
    <xf numFmtId="0" fontId="6" fillId="0" borderId="53" xfId="0" applyFont="1" applyBorder="1" applyAlignment="1">
      <alignment horizontal="right"/>
    </xf>
    <xf numFmtId="0" fontId="6" fillId="0" borderId="21" xfId="0" applyFont="1" applyFill="1" applyBorder="1" applyAlignment="1">
      <alignment horizontal="center" wrapText="1"/>
    </xf>
    <xf numFmtId="0" fontId="6" fillId="0" borderId="22" xfId="0" applyFont="1" applyFill="1" applyBorder="1" applyAlignment="1">
      <alignment horizontal="center" wrapText="1"/>
    </xf>
    <xf numFmtId="0" fontId="6" fillId="0" borderId="46" xfId="0" applyFont="1" applyFill="1" applyBorder="1" applyAlignment="1">
      <alignment horizontal="center" wrapText="1"/>
    </xf>
    <xf numFmtId="0" fontId="13" fillId="7" borderId="0" xfId="0" applyFont="1" applyFill="1" applyBorder="1" applyAlignment="1">
      <alignment horizontal="left" vertical="top" wrapText="1"/>
    </xf>
    <xf numFmtId="1" fontId="0" fillId="0" borderId="10" xfId="0" applyNumberFormat="1"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xf>
    <xf numFmtId="0" fontId="0" fillId="0" borderId="6" xfId="0" applyBorder="1" applyAlignment="1">
      <alignment horizontal="center"/>
    </xf>
    <xf numFmtId="0" fontId="0" fillId="0" borderId="16" xfId="0" applyBorder="1" applyAlignment="1">
      <alignment horizontal="center"/>
    </xf>
    <xf numFmtId="0" fontId="0" fillId="0" borderId="6" xfId="0" applyBorder="1" applyAlignment="1">
      <alignment horizontal="center" wrapText="1"/>
    </xf>
    <xf numFmtId="0" fontId="0" fillId="0" borderId="16" xfId="0" applyBorder="1" applyAlignment="1">
      <alignment horizontal="center" wrapText="1"/>
    </xf>
    <xf numFmtId="2" fontId="0" fillId="4" borderId="18" xfId="0" applyNumberFormat="1" applyFill="1" applyBorder="1" applyAlignment="1">
      <alignment horizontal="center" vertical="center" wrapText="1"/>
    </xf>
    <xf numFmtId="0" fontId="0" fillId="4" borderId="19" xfId="0" applyFill="1" applyBorder="1" applyAlignment="1">
      <alignment horizontal="center" vertical="center"/>
    </xf>
    <xf numFmtId="0" fontId="0" fillId="9" borderId="18" xfId="0" applyFill="1" applyBorder="1" applyAlignment="1">
      <alignment wrapText="1"/>
    </xf>
    <xf numFmtId="0" fontId="0" fillId="9" borderId="19" xfId="0" applyFill="1" applyBorder="1" applyAlignment="1"/>
    <xf numFmtId="2" fontId="0" fillId="6" borderId="6" xfId="0" applyNumberFormat="1" applyFill="1" applyBorder="1" applyAlignment="1">
      <alignment horizontal="center" vertical="center"/>
    </xf>
    <xf numFmtId="2" fontId="0" fillId="6" borderId="28" xfId="0" applyNumberFormat="1" applyFill="1" applyBorder="1" applyAlignment="1">
      <alignment horizontal="center" vertical="center"/>
    </xf>
    <xf numFmtId="2" fontId="0" fillId="6" borderId="16"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wrapText="1"/>
    </xf>
    <xf numFmtId="0" fontId="0" fillId="0" borderId="0" xfId="0" applyBorder="1" applyAlignment="1">
      <alignment horizontal="center"/>
    </xf>
    <xf numFmtId="0" fontId="0" fillId="2" borderId="0" xfId="0" applyFont="1" applyFill="1" applyBorder="1" applyAlignment="1">
      <alignment horizontal="center" vertical="center" wrapText="1"/>
    </xf>
    <xf numFmtId="0" fontId="3" fillId="0" borderId="37" xfId="0" applyFont="1" applyBorder="1" applyAlignment="1">
      <alignment horizontal="center" vertical="center" textRotation="90"/>
    </xf>
    <xf numFmtId="0" fontId="3" fillId="0" borderId="20" xfId="0" applyFont="1" applyBorder="1" applyAlignment="1">
      <alignment horizontal="center" vertical="center" textRotation="90"/>
    </xf>
    <xf numFmtId="0" fontId="3" fillId="0" borderId="38" xfId="0" applyFont="1" applyBorder="1" applyAlignment="1">
      <alignment horizontal="center" vertical="center" textRotation="90"/>
    </xf>
    <xf numFmtId="0" fontId="3" fillId="0" borderId="37"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5" fillId="0" borderId="6" xfId="0" applyFont="1" applyBorder="1" applyAlignment="1">
      <alignment horizontal="center" vertical="center"/>
    </xf>
    <xf numFmtId="0" fontId="0" fillId="0" borderId="28" xfId="0" applyBorder="1" applyAlignment="1">
      <alignment horizontal="center"/>
    </xf>
    <xf numFmtId="0" fontId="23" fillId="5" borderId="6" xfId="0" applyFont="1" applyFill="1" applyBorder="1" applyAlignment="1">
      <alignment horizontal="center" vertical="center"/>
    </xf>
    <xf numFmtId="0" fontId="23" fillId="5" borderId="28" xfId="0" applyFont="1" applyFill="1" applyBorder="1" applyAlignment="1">
      <alignment horizontal="center" vertical="center"/>
    </xf>
    <xf numFmtId="0" fontId="23" fillId="5" borderId="16" xfId="0" applyFont="1" applyFill="1" applyBorder="1" applyAlignment="1">
      <alignment vertical="center"/>
    </xf>
  </cellXfs>
  <cellStyles count="2">
    <cellStyle name="Standaard" xfId="0" builtinId="0"/>
    <cellStyle name="Valuta" xfId="1" builtinId="4"/>
  </cellStyles>
  <dxfs count="14">
    <dxf>
      <font>
        <b/>
        <i val="0"/>
        <color rgb="FFFFFF00"/>
      </font>
      <fill>
        <patternFill patternType="solid">
          <fgColor indexed="64"/>
          <bgColor rgb="FFFF0000"/>
        </patternFill>
      </fill>
    </dxf>
    <dxf>
      <font>
        <b/>
        <i val="0"/>
        <color rgb="FFFFFF00"/>
      </font>
      <fill>
        <patternFill patternType="solid">
          <fgColor indexed="64"/>
          <bgColor rgb="FF15BE0E"/>
        </patternFill>
      </fill>
    </dxf>
    <dxf>
      <font>
        <color rgb="FFFFFF00"/>
      </font>
      <fill>
        <patternFill patternType="solid">
          <fgColor indexed="64"/>
          <bgColor rgb="FFFF0000"/>
        </patternFill>
      </fill>
    </dxf>
    <dxf>
      <font>
        <b/>
        <i val="0"/>
        <color rgb="FFFFFF00"/>
      </font>
      <fill>
        <patternFill patternType="solid">
          <fgColor indexed="64"/>
          <bgColor rgb="FFFF0000"/>
        </patternFill>
      </fill>
    </dxf>
    <dxf>
      <font>
        <b/>
        <i val="0"/>
        <color rgb="FFFFFF00"/>
      </font>
      <fill>
        <patternFill patternType="solid">
          <fgColor indexed="64"/>
          <bgColor rgb="FFFF0000"/>
        </patternFill>
      </fill>
    </dxf>
    <dxf>
      <font>
        <b/>
        <i val="0"/>
        <color rgb="FFFFFF00"/>
      </font>
      <fill>
        <patternFill patternType="solid">
          <fgColor indexed="64"/>
          <bgColor rgb="FFFF0000"/>
        </patternFill>
      </fill>
    </dxf>
    <dxf>
      <font>
        <b/>
        <i val="0"/>
        <color rgb="FFFFFF00"/>
      </font>
      <fill>
        <patternFill patternType="solid">
          <fgColor indexed="64"/>
          <bgColor rgb="FFFF0000"/>
        </patternFill>
      </fill>
      <border>
        <left style="thin">
          <color indexed="64"/>
        </left>
        <right style="thin">
          <color indexed="64"/>
        </right>
        <top style="thin">
          <color indexed="64"/>
        </top>
        <bottom style="thin">
          <color indexed="64"/>
        </bottom>
      </border>
    </dxf>
    <dxf>
      <font>
        <color rgb="FFFF0000"/>
      </font>
      <fill>
        <patternFill patternType="solid">
          <fgColor indexed="64"/>
          <bgColor rgb="FFFFFF00"/>
        </patternFill>
      </fill>
    </dxf>
    <dxf>
      <font>
        <color rgb="FFFFFF00"/>
      </font>
      <fill>
        <patternFill patternType="solid">
          <fgColor indexed="64"/>
          <bgColor rgb="FFFF0000"/>
        </patternFill>
      </fill>
      <border>
        <left style="thin">
          <color indexed="64"/>
        </left>
        <right style="thin">
          <color indexed="64"/>
        </right>
        <top style="thin">
          <color indexed="64"/>
        </top>
        <bottom style="thin">
          <color indexed="64"/>
        </bottom>
      </border>
    </dxf>
    <dxf>
      <font>
        <b/>
        <i val="0"/>
        <color rgb="FFFFFF00"/>
      </font>
      <fill>
        <patternFill patternType="solid">
          <fgColor indexed="64"/>
          <bgColor rgb="FFFF0000"/>
        </patternFill>
      </fill>
    </dxf>
    <dxf>
      <font>
        <b/>
        <i val="0"/>
        <color rgb="FFFFFF00"/>
      </font>
      <fill>
        <patternFill patternType="solid">
          <fgColor indexed="64"/>
          <bgColor rgb="FFFF0000"/>
        </patternFill>
      </fill>
    </dxf>
    <dxf>
      <font>
        <color rgb="FFFFFF00"/>
      </font>
      <fill>
        <patternFill patternType="solid">
          <fgColor indexed="64"/>
          <bgColor rgb="FFFF0000"/>
        </patternFill>
      </fill>
      <border>
        <left style="thin">
          <color indexed="64"/>
        </left>
        <right style="thin">
          <color indexed="64"/>
        </right>
        <top style="thin">
          <color indexed="64"/>
        </top>
        <bottom style="thin">
          <color indexed="64"/>
        </bottom>
      </border>
    </dxf>
    <dxf>
      <font>
        <b/>
        <i val="0"/>
      </font>
    </dxf>
    <dxf>
      <fill>
        <patternFill>
          <bgColor rgb="FF92D050"/>
        </patternFill>
      </fill>
    </dxf>
  </dxfs>
  <tableStyles count="0" defaultTableStyle="TableStyleMedium9" defaultPivotStyle="PivotStyleLight16"/>
  <colors>
    <mruColors>
      <color rgb="FFCCFFCC"/>
      <color rgb="FFC8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nl-NL" sz="1400">
                <a:solidFill>
                  <a:srgbClr val="0000FF"/>
                </a:solidFill>
              </a:rPr>
              <a:t>W&amp;B</a:t>
            </a:r>
            <a:r>
              <a:rPr lang="nl-NL" sz="1400" baseline="0">
                <a:solidFill>
                  <a:srgbClr val="0000FF"/>
                </a:solidFill>
              </a:rPr>
              <a:t> development during flight PH-STW</a:t>
            </a:r>
            <a:endParaRPr lang="nl-NL" sz="1400">
              <a:solidFill>
                <a:srgbClr val="0000FF"/>
              </a:solidFill>
            </a:endParaRPr>
          </a:p>
        </c:rich>
      </c:tx>
      <c:layout>
        <c:manualLayout>
          <c:xMode val="edge"/>
          <c:yMode val="edge"/>
          <c:x val="0.163686376467093"/>
          <c:y val="3.5135029608902198E-2"/>
        </c:manualLayout>
      </c:layout>
      <c:overlay val="0"/>
    </c:title>
    <c:autoTitleDeleted val="0"/>
    <c:plotArea>
      <c:layout>
        <c:manualLayout>
          <c:layoutTarget val="inner"/>
          <c:xMode val="edge"/>
          <c:yMode val="edge"/>
          <c:x val="7.3597138884551619E-2"/>
          <c:y val="0.17648190506964165"/>
          <c:w val="0.66334883375427101"/>
          <c:h val="0.76920544022906201"/>
        </c:manualLayout>
      </c:layout>
      <c:scatterChart>
        <c:scatterStyle val="lineMarker"/>
        <c:varyColors val="0"/>
        <c:ser>
          <c:idx val="0"/>
          <c:order val="0"/>
          <c:tx>
            <c:strRef>
              <c:f>LIMITATIONS!$E$9</c:f>
              <c:strCache>
                <c:ptCount val="1"/>
                <c:pt idx="0">
                  <c:v>NORMAL</c:v>
                </c:pt>
              </c:strCache>
            </c:strRef>
          </c:tx>
          <c:marker>
            <c:symbol val="none"/>
          </c:marker>
          <c:xVal>
            <c:numRef>
              <c:f>LIMITATIONS!$C$9:$C$13</c:f>
              <c:numCache>
                <c:formatCode>General</c:formatCode>
                <c:ptCount val="5"/>
                <c:pt idx="0">
                  <c:v>35</c:v>
                </c:pt>
                <c:pt idx="1">
                  <c:v>35</c:v>
                </c:pt>
                <c:pt idx="2">
                  <c:v>40</c:v>
                </c:pt>
                <c:pt idx="3">
                  <c:v>47.4</c:v>
                </c:pt>
                <c:pt idx="4">
                  <c:v>47.4</c:v>
                </c:pt>
              </c:numCache>
            </c:numRef>
          </c:xVal>
          <c:yVal>
            <c:numRef>
              <c:f>LIMITATIONS!$D$9:$D$13</c:f>
              <c:numCache>
                <c:formatCode>General</c:formatCode>
                <c:ptCount val="5"/>
                <c:pt idx="0">
                  <c:v>1500</c:v>
                </c:pt>
                <c:pt idx="1">
                  <c:v>1950</c:v>
                </c:pt>
                <c:pt idx="2">
                  <c:v>2450</c:v>
                </c:pt>
                <c:pt idx="3">
                  <c:v>2450</c:v>
                </c:pt>
                <c:pt idx="4">
                  <c:v>1500</c:v>
                </c:pt>
              </c:numCache>
            </c:numRef>
          </c:yVal>
          <c:smooth val="0"/>
        </c:ser>
        <c:ser>
          <c:idx val="1"/>
          <c:order val="1"/>
          <c:tx>
            <c:strRef>
              <c:f>LIMITATIONS!$E$15</c:f>
              <c:strCache>
                <c:ptCount val="1"/>
                <c:pt idx="0">
                  <c:v>UTILITY</c:v>
                </c:pt>
              </c:strCache>
            </c:strRef>
          </c:tx>
          <c:marker>
            <c:symbol val="none"/>
          </c:marker>
          <c:xVal>
            <c:numRef>
              <c:f>LIMITATIONS!$C$15:$C$17</c:f>
              <c:numCache>
                <c:formatCode>General</c:formatCode>
                <c:ptCount val="3"/>
                <c:pt idx="0">
                  <c:v>36.5</c:v>
                </c:pt>
                <c:pt idx="1">
                  <c:v>40.5</c:v>
                </c:pt>
                <c:pt idx="2">
                  <c:v>40.5</c:v>
                </c:pt>
              </c:numCache>
            </c:numRef>
          </c:xVal>
          <c:yVal>
            <c:numRef>
              <c:f>LIMITATIONS!$D$15:$D$17</c:f>
              <c:numCache>
                <c:formatCode>General</c:formatCode>
                <c:ptCount val="3"/>
                <c:pt idx="0">
                  <c:v>2100</c:v>
                </c:pt>
                <c:pt idx="1">
                  <c:v>2100</c:v>
                </c:pt>
                <c:pt idx="2">
                  <c:v>1500</c:v>
                </c:pt>
              </c:numCache>
            </c:numRef>
          </c:yVal>
          <c:smooth val="0"/>
        </c:ser>
        <c:ser>
          <c:idx val="2"/>
          <c:order val="2"/>
          <c:tx>
            <c:strRef>
              <c:f>CALCULATORS!$C$36</c:f>
              <c:strCache>
                <c:ptCount val="1"/>
                <c:pt idx="0">
                  <c:v>TRIP FUEL</c:v>
                </c:pt>
              </c:strCache>
            </c:strRef>
          </c:tx>
          <c:spPr>
            <a:ln w="19050">
              <a:solidFill>
                <a:srgbClr val="0000FF"/>
              </a:solidFill>
              <a:headEnd type="triangle"/>
              <a:tailEnd type="none"/>
            </a:ln>
          </c:spPr>
          <c:marker>
            <c:symbol val="none"/>
          </c:marker>
          <c:xVal>
            <c:numRef>
              <c:f>CALCULATORS!$F$36:$F$37</c:f>
              <c:numCache>
                <c:formatCode>0.00</c:formatCode>
                <c:ptCount val="2"/>
                <c:pt idx="0">
                  <c:v>41.914074523404608</c:v>
                </c:pt>
                <c:pt idx="1">
                  <c:v>42.139127367894183</c:v>
                </c:pt>
              </c:numCache>
            </c:numRef>
          </c:xVal>
          <c:yVal>
            <c:numRef>
              <c:f>CALCULATORS!$E$36:$E$37</c:f>
              <c:numCache>
                <c:formatCode>0.00</c:formatCode>
                <c:ptCount val="2"/>
                <c:pt idx="0">
                  <c:v>2343.7985779999999</c:v>
                </c:pt>
                <c:pt idx="1">
                  <c:v>2433.7985779999999</c:v>
                </c:pt>
              </c:numCache>
            </c:numRef>
          </c:yVal>
          <c:smooth val="0"/>
        </c:ser>
        <c:ser>
          <c:idx val="3"/>
          <c:order val="3"/>
          <c:tx>
            <c:strRef>
              <c:f>CALCULATORS!$D$35</c:f>
              <c:strCache>
                <c:ptCount val="1"/>
                <c:pt idx="0">
                  <c:v>ALTERNATE &amp;
RESERVE 
FUEL</c:v>
                </c:pt>
              </c:strCache>
            </c:strRef>
          </c:tx>
          <c:spPr>
            <a:ln w="19050">
              <a:solidFill>
                <a:srgbClr val="00FF00"/>
              </a:solidFill>
              <a:headEnd type="triangle"/>
            </a:ln>
          </c:spPr>
          <c:marker>
            <c:symbol val="none"/>
          </c:marker>
          <c:xVal>
            <c:numRef>
              <c:f>CALCULATORS!$F$35:$F$36</c:f>
              <c:numCache>
                <c:formatCode>0.00</c:formatCode>
                <c:ptCount val="2"/>
                <c:pt idx="0">
                  <c:v>41.602927359182189</c:v>
                </c:pt>
                <c:pt idx="1">
                  <c:v>41.914074523404608</c:v>
                </c:pt>
              </c:numCache>
            </c:numRef>
          </c:xVal>
          <c:yVal>
            <c:numRef>
              <c:f>CALCULATORS!$E$35:$E$36</c:f>
              <c:numCache>
                <c:formatCode>0.00</c:formatCode>
                <c:ptCount val="2"/>
                <c:pt idx="0">
                  <c:v>2229.7985779999999</c:v>
                </c:pt>
                <c:pt idx="1">
                  <c:v>2343.7985779999999</c:v>
                </c:pt>
              </c:numCache>
            </c:numRef>
          </c:yVal>
          <c:smooth val="0"/>
        </c:ser>
        <c:dLbls>
          <c:showLegendKey val="0"/>
          <c:showVal val="0"/>
          <c:showCatName val="0"/>
          <c:showSerName val="0"/>
          <c:showPercent val="0"/>
          <c:showBubbleSize val="0"/>
        </c:dLbls>
        <c:axId val="1089852800"/>
        <c:axId val="1089845184"/>
      </c:scatterChart>
      <c:valAx>
        <c:axId val="1089852800"/>
        <c:scaling>
          <c:orientation val="minMax"/>
          <c:max val="50"/>
          <c:min val="34"/>
        </c:scaling>
        <c:delete val="0"/>
        <c:axPos val="b"/>
        <c:majorGridlines/>
        <c:title>
          <c:tx>
            <c:rich>
              <a:bodyPr/>
              <a:lstStyle/>
              <a:p>
                <a:pPr>
                  <a:defRPr sz="1400"/>
                </a:pPr>
                <a:r>
                  <a:rPr lang="nl-NL" sz="1400"/>
                  <a:t>CG in inch</a:t>
                </a:r>
              </a:p>
            </c:rich>
          </c:tx>
          <c:layout>
            <c:manualLayout>
              <c:xMode val="edge"/>
              <c:yMode val="edge"/>
              <c:x val="0.773467092556827"/>
              <c:y val="0.93223140495867696"/>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089845184"/>
        <c:crosses val="autoZero"/>
        <c:crossBetween val="midCat"/>
        <c:minorUnit val="2"/>
      </c:valAx>
      <c:valAx>
        <c:axId val="1089845184"/>
        <c:scaling>
          <c:orientation val="minMax"/>
          <c:max val="2700"/>
          <c:min val="1500"/>
        </c:scaling>
        <c:delete val="0"/>
        <c:axPos val="l"/>
        <c:majorGridlines/>
        <c:title>
          <c:tx>
            <c:rich>
              <a:bodyPr rot="0" vert="horz"/>
              <a:lstStyle/>
              <a:p>
                <a:pPr algn="ctr">
                  <a:defRPr sz="1400" b="0" i="0" u="none" strike="noStrike" baseline="0">
                    <a:solidFill>
                      <a:srgbClr val="000000"/>
                    </a:solidFill>
                    <a:latin typeface="Arial"/>
                    <a:ea typeface="Arial"/>
                    <a:cs typeface="Arial"/>
                  </a:defRPr>
                </a:pPr>
                <a:r>
                  <a:rPr lang="nl-NL" sz="1400" b="1" i="0" u="none" strike="noStrike" baseline="0">
                    <a:solidFill>
                      <a:srgbClr val="000000"/>
                    </a:solidFill>
                    <a:latin typeface="Calibri"/>
                    <a:ea typeface="Calibri"/>
                    <a:cs typeface="Calibri"/>
                  </a:rPr>
                  <a:t>Weight </a:t>
                </a:r>
              </a:p>
              <a:p>
                <a:pPr algn="ctr">
                  <a:defRPr sz="1400" b="0" i="0" u="none" strike="noStrike" baseline="0">
                    <a:solidFill>
                      <a:srgbClr val="000000"/>
                    </a:solidFill>
                    <a:latin typeface="Arial"/>
                    <a:ea typeface="Arial"/>
                    <a:cs typeface="Arial"/>
                  </a:defRPr>
                </a:pPr>
                <a:r>
                  <a:rPr lang="nl-NL" sz="1400" b="1" i="0" u="none" strike="noStrike" baseline="0">
                    <a:solidFill>
                      <a:srgbClr val="000000"/>
                    </a:solidFill>
                    <a:latin typeface="Calibri"/>
                    <a:ea typeface="Calibri"/>
                    <a:cs typeface="Calibri"/>
                  </a:rPr>
                  <a:t>in lbs</a:t>
                </a:r>
              </a:p>
            </c:rich>
          </c:tx>
          <c:layout>
            <c:manualLayout>
              <c:xMode val="edge"/>
              <c:yMode val="edge"/>
              <c:x val="9.7563512108156196E-4"/>
              <c:y val="1.6750178954903401E-3"/>
            </c:manualLayout>
          </c:layout>
          <c:overlay val="0"/>
        </c:title>
        <c:numFmt formatCode="General" sourceLinked="1"/>
        <c:majorTickMark val="out"/>
        <c:minorTickMark val="none"/>
        <c:tickLblPos val="nextTo"/>
        <c:crossAx val="1089852800"/>
        <c:crosses val="autoZero"/>
        <c:crossBetween val="midCat"/>
        <c:minorUnit val="20"/>
      </c:valAx>
      <c:spPr>
        <a:solidFill>
          <a:srgbClr val="FFFF00">
            <a:alpha val="34000"/>
          </a:srgbClr>
        </a:solidFill>
        <a:ln>
          <a:solidFill>
            <a:srgbClr val="CCFFCC">
              <a:alpha val="63000"/>
            </a:srgbClr>
          </a:solidFill>
        </a:ln>
      </c:spPr>
    </c:plotArea>
    <c:legend>
      <c:legendPos val="r"/>
      <c:legendEntry>
        <c:idx val="0"/>
        <c:txPr>
          <a:bodyPr/>
          <a:lstStyle/>
          <a:p>
            <a:pPr>
              <a:defRPr sz="1200"/>
            </a:pPr>
            <a:endParaRPr lang="nl-NL"/>
          </a:p>
        </c:txPr>
      </c:legendEntry>
      <c:legendEntry>
        <c:idx val="1"/>
        <c:txPr>
          <a:bodyPr/>
          <a:lstStyle/>
          <a:p>
            <a:pPr>
              <a:defRPr sz="1200"/>
            </a:pPr>
            <a:endParaRPr lang="nl-NL"/>
          </a:p>
        </c:txPr>
      </c:legendEntry>
      <c:legendEntry>
        <c:idx val="2"/>
        <c:txPr>
          <a:bodyPr/>
          <a:lstStyle/>
          <a:p>
            <a:pPr>
              <a:defRPr sz="1200"/>
            </a:pPr>
            <a:endParaRPr lang="nl-NL"/>
          </a:p>
        </c:txPr>
      </c:legendEntry>
      <c:layout>
        <c:manualLayout>
          <c:xMode val="edge"/>
          <c:yMode val="edge"/>
          <c:x val="0.77217857673451196"/>
          <c:y val="0.23890240992603201"/>
          <c:w val="0.21454939830634401"/>
          <c:h val="0.52864514869525603"/>
        </c:manualLayout>
      </c:layout>
      <c:overlay val="0"/>
      <c:txPr>
        <a:bodyPr/>
        <a:lstStyle/>
        <a:p>
          <a:pPr>
            <a:defRPr sz="1400"/>
          </a:pPr>
          <a:endParaRPr lang="nl-NL"/>
        </a:p>
      </c:txPr>
    </c:legend>
    <c:plotVisOnly val="1"/>
    <c:dispBlanksAs val="gap"/>
    <c:showDLblsOverMax val="0"/>
  </c:chart>
  <c:printSettings>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nl-NL" sz="2400">
                <a:solidFill>
                  <a:srgbClr val="0000FF"/>
                </a:solidFill>
              </a:rPr>
              <a:t>Moment</a:t>
            </a:r>
            <a:r>
              <a:rPr lang="nl-NL" sz="2400" baseline="0">
                <a:solidFill>
                  <a:srgbClr val="0000FF"/>
                </a:solidFill>
              </a:rPr>
              <a:t> verloop gedurende de vlucht PH-STW</a:t>
            </a:r>
            <a:endParaRPr lang="nl-NL" sz="2400">
              <a:solidFill>
                <a:srgbClr val="0000FF"/>
              </a:solidFill>
            </a:endParaRPr>
          </a:p>
        </c:rich>
      </c:tx>
      <c:layout>
        <c:manualLayout>
          <c:xMode val="edge"/>
          <c:yMode val="edge"/>
          <c:x val="0.19758593581599401"/>
          <c:y val="2.61247333899963E-2"/>
        </c:manualLayout>
      </c:layout>
      <c:overlay val="0"/>
      <c:spPr>
        <a:solidFill>
          <a:srgbClr val="FFFFFF"/>
        </a:solidFill>
      </c:spPr>
    </c:title>
    <c:autoTitleDeleted val="0"/>
    <c:plotArea>
      <c:layout>
        <c:manualLayout>
          <c:layoutTarget val="inner"/>
          <c:xMode val="edge"/>
          <c:yMode val="edge"/>
          <c:x val="8.6057216908709294E-2"/>
          <c:y val="0.120371846376346"/>
          <c:w val="0.74277745693237396"/>
          <c:h val="0.78852048851036505"/>
        </c:manualLayout>
      </c:layout>
      <c:scatterChart>
        <c:scatterStyle val="lineMarker"/>
        <c:varyColors val="0"/>
        <c:ser>
          <c:idx val="0"/>
          <c:order val="0"/>
          <c:tx>
            <c:strRef>
              <c:f>LIMITATIONS!$E$9</c:f>
              <c:strCache>
                <c:ptCount val="1"/>
                <c:pt idx="0">
                  <c:v>NORMAL</c:v>
                </c:pt>
              </c:strCache>
            </c:strRef>
          </c:tx>
          <c:spPr>
            <a:ln w="31750"/>
          </c:spPr>
          <c:marker>
            <c:symbol val="none"/>
          </c:marker>
          <c:xVal>
            <c:numRef>
              <c:f>LIMITATIONS!$G$9:$G$13</c:f>
              <c:numCache>
                <c:formatCode>General</c:formatCode>
                <c:ptCount val="5"/>
                <c:pt idx="0">
                  <c:v>52.5</c:v>
                </c:pt>
                <c:pt idx="1">
                  <c:v>68.25</c:v>
                </c:pt>
                <c:pt idx="2">
                  <c:v>98</c:v>
                </c:pt>
                <c:pt idx="3">
                  <c:v>116.13</c:v>
                </c:pt>
                <c:pt idx="4">
                  <c:v>71.099999999999994</c:v>
                </c:pt>
              </c:numCache>
            </c:numRef>
          </c:xVal>
          <c:yVal>
            <c:numRef>
              <c:f>LIMITATIONS!$D$9:$D$13</c:f>
              <c:numCache>
                <c:formatCode>General</c:formatCode>
                <c:ptCount val="5"/>
                <c:pt idx="0">
                  <c:v>1500</c:v>
                </c:pt>
                <c:pt idx="1">
                  <c:v>1950</c:v>
                </c:pt>
                <c:pt idx="2">
                  <c:v>2450</c:v>
                </c:pt>
                <c:pt idx="3">
                  <c:v>2450</c:v>
                </c:pt>
                <c:pt idx="4">
                  <c:v>1500</c:v>
                </c:pt>
              </c:numCache>
            </c:numRef>
          </c:yVal>
          <c:smooth val="0"/>
        </c:ser>
        <c:ser>
          <c:idx val="1"/>
          <c:order val="1"/>
          <c:tx>
            <c:strRef>
              <c:f>LIMITATIONS!$E$15</c:f>
              <c:strCache>
                <c:ptCount val="1"/>
                <c:pt idx="0">
                  <c:v>UTILITY</c:v>
                </c:pt>
              </c:strCache>
            </c:strRef>
          </c:tx>
          <c:spPr>
            <a:ln w="25400" cap="sq"/>
          </c:spPr>
          <c:marker>
            <c:symbol val="none"/>
          </c:marker>
          <c:xVal>
            <c:numRef>
              <c:f>LIMITATIONS!$G$15:$G$17</c:f>
              <c:numCache>
                <c:formatCode>General</c:formatCode>
                <c:ptCount val="3"/>
                <c:pt idx="0">
                  <c:v>76.650000000000006</c:v>
                </c:pt>
                <c:pt idx="1">
                  <c:v>85.05</c:v>
                </c:pt>
                <c:pt idx="2">
                  <c:v>60.75</c:v>
                </c:pt>
              </c:numCache>
            </c:numRef>
          </c:xVal>
          <c:yVal>
            <c:numRef>
              <c:f>LIMITATIONS!$D$15:$D$17</c:f>
              <c:numCache>
                <c:formatCode>General</c:formatCode>
                <c:ptCount val="3"/>
                <c:pt idx="0">
                  <c:v>2100</c:v>
                </c:pt>
                <c:pt idx="1">
                  <c:v>2100</c:v>
                </c:pt>
                <c:pt idx="2">
                  <c:v>1500</c:v>
                </c:pt>
              </c:numCache>
            </c:numRef>
          </c:yVal>
          <c:smooth val="0"/>
        </c:ser>
        <c:ser>
          <c:idx val="2"/>
          <c:order val="2"/>
          <c:tx>
            <c:strRef>
              <c:f>CALCULATORS!$C$36</c:f>
              <c:strCache>
                <c:ptCount val="1"/>
                <c:pt idx="0">
                  <c:v>TRIP FUEL</c:v>
                </c:pt>
              </c:strCache>
            </c:strRef>
          </c:tx>
          <c:spPr>
            <a:ln w="50800" cap="flat">
              <a:solidFill>
                <a:srgbClr val="0000FF"/>
              </a:solidFill>
              <a:headEnd type="triangle"/>
              <a:tailEnd type="none"/>
            </a:ln>
          </c:spPr>
          <c:marker>
            <c:symbol val="none"/>
          </c:marker>
          <c:xVal>
            <c:numRef>
              <c:f>CALCULATORS!$B$36:$B$37</c:f>
              <c:numCache>
                <c:formatCode>0.00</c:formatCode>
                <c:ptCount val="2"/>
                <c:pt idx="0">
                  <c:v>98.238148266141735</c:v>
                </c:pt>
                <c:pt idx="1">
                  <c:v>102.55814826614174</c:v>
                </c:pt>
              </c:numCache>
            </c:numRef>
          </c:xVal>
          <c:yVal>
            <c:numRef>
              <c:f>CALCULATORS!$A$36:$A$37</c:f>
              <c:numCache>
                <c:formatCode>0.00</c:formatCode>
                <c:ptCount val="2"/>
                <c:pt idx="0">
                  <c:v>2343.7985779999999</c:v>
                </c:pt>
                <c:pt idx="1">
                  <c:v>2433.7985779999999</c:v>
                </c:pt>
              </c:numCache>
            </c:numRef>
          </c:yVal>
          <c:smooth val="0"/>
        </c:ser>
        <c:ser>
          <c:idx val="3"/>
          <c:order val="3"/>
          <c:tx>
            <c:strRef>
              <c:f>CALCULATORS!$D$35</c:f>
              <c:strCache>
                <c:ptCount val="1"/>
                <c:pt idx="0">
                  <c:v>ALTERNATE &amp;
RESERVE 
FUEL</c:v>
                </c:pt>
              </c:strCache>
            </c:strRef>
          </c:tx>
          <c:spPr>
            <a:ln w="50800">
              <a:solidFill>
                <a:srgbClr val="00FF00"/>
              </a:solidFill>
              <a:headEnd type="triangle"/>
              <a:tailEnd type="none"/>
            </a:ln>
          </c:spPr>
          <c:marker>
            <c:symbol val="none"/>
          </c:marker>
          <c:xVal>
            <c:numRef>
              <c:f>CALCULATORS!$B$35:$B$36</c:f>
              <c:numCache>
                <c:formatCode>0.00</c:formatCode>
                <c:ptCount val="2"/>
                <c:pt idx="0">
                  <c:v>92.766148266141741</c:v>
                </c:pt>
                <c:pt idx="1">
                  <c:v>98.238148266141735</c:v>
                </c:pt>
              </c:numCache>
            </c:numRef>
          </c:xVal>
          <c:yVal>
            <c:numRef>
              <c:f>CALCULATORS!$A$35:$A$36</c:f>
              <c:numCache>
                <c:formatCode>0.00</c:formatCode>
                <c:ptCount val="2"/>
                <c:pt idx="0">
                  <c:v>2229.7985779999999</c:v>
                </c:pt>
                <c:pt idx="1">
                  <c:v>2343.7985779999999</c:v>
                </c:pt>
              </c:numCache>
            </c:numRef>
          </c:yVal>
          <c:smooth val="0"/>
        </c:ser>
        <c:dLbls>
          <c:showLegendKey val="0"/>
          <c:showVal val="0"/>
          <c:showCatName val="0"/>
          <c:showSerName val="0"/>
          <c:showPercent val="0"/>
          <c:showBubbleSize val="0"/>
        </c:dLbls>
        <c:axId val="1089847360"/>
        <c:axId val="1089853888"/>
      </c:scatterChart>
      <c:valAx>
        <c:axId val="1089847360"/>
        <c:scaling>
          <c:orientation val="minMax"/>
          <c:min val="40"/>
        </c:scaling>
        <c:delete val="0"/>
        <c:axPos val="b"/>
        <c:majorGridlines/>
        <c:title>
          <c:tx>
            <c:rich>
              <a:bodyPr/>
              <a:lstStyle/>
              <a:p>
                <a:pPr>
                  <a:defRPr sz="1800"/>
                </a:pPr>
                <a:r>
                  <a:rPr lang="nl-NL" sz="1800"/>
                  <a:t>Airplane moment in</a:t>
                </a:r>
                <a:r>
                  <a:rPr lang="nl-NL" sz="1800" baseline="0"/>
                  <a:t> 1000  pound .inch</a:t>
                </a:r>
                <a:endParaRPr lang="nl-NL" sz="1800"/>
              </a:p>
            </c:rich>
          </c:tx>
          <c:layout>
            <c:manualLayout>
              <c:xMode val="edge"/>
              <c:yMode val="edge"/>
              <c:x val="0.45265966754155701"/>
              <c:y val="0.94409096011674698"/>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089853888"/>
        <c:crossesAt val="0"/>
        <c:crossBetween val="midCat"/>
      </c:valAx>
      <c:valAx>
        <c:axId val="1089853888"/>
        <c:scaling>
          <c:orientation val="minMax"/>
          <c:max val="2700"/>
          <c:min val="1500"/>
        </c:scaling>
        <c:delete val="0"/>
        <c:axPos val="l"/>
        <c:majorGridlines/>
        <c:title>
          <c:tx>
            <c:rich>
              <a:bodyPr rot="0" vert="horz"/>
              <a:lstStyle/>
              <a:p>
                <a:pPr algn="ctr">
                  <a:defRPr sz="1400" b="0" i="0" u="none" strike="noStrike" baseline="0">
                    <a:solidFill>
                      <a:srgbClr val="000000"/>
                    </a:solidFill>
                    <a:latin typeface="Arial"/>
                    <a:ea typeface="Arial"/>
                    <a:cs typeface="Arial"/>
                  </a:defRPr>
                </a:pPr>
                <a:r>
                  <a:rPr lang="nl-NL" sz="1800" b="1" i="0" u="none" strike="noStrike" baseline="0">
                    <a:solidFill>
                      <a:srgbClr val="000000"/>
                    </a:solidFill>
                    <a:latin typeface="Calibri"/>
                    <a:ea typeface="Calibri"/>
                    <a:cs typeface="Calibri"/>
                  </a:rPr>
                  <a:t> weight</a:t>
                </a:r>
              </a:p>
              <a:p>
                <a:pPr algn="ctr">
                  <a:defRPr sz="1400" b="0" i="0" u="none" strike="noStrike" baseline="0">
                    <a:solidFill>
                      <a:srgbClr val="000000"/>
                    </a:solidFill>
                    <a:latin typeface="Arial"/>
                    <a:ea typeface="Arial"/>
                    <a:cs typeface="Arial"/>
                  </a:defRPr>
                </a:pPr>
                <a:r>
                  <a:rPr lang="nl-NL" sz="1400" b="0" i="0" u="none" strike="noStrike" baseline="0">
                    <a:solidFill>
                      <a:srgbClr val="000000"/>
                    </a:solidFill>
                    <a:latin typeface="Arial"/>
                    <a:ea typeface="Arial"/>
                    <a:cs typeface="Arial"/>
                  </a:rPr>
                  <a:t> in lbs</a:t>
                </a:r>
              </a:p>
            </c:rich>
          </c:tx>
          <c:layout>
            <c:manualLayout>
              <c:xMode val="edge"/>
              <c:yMode val="edge"/>
              <c:x val="0"/>
              <c:y val="3.8856904597719602E-4"/>
            </c:manualLayout>
          </c:layout>
          <c:overlay val="0"/>
        </c:title>
        <c:numFmt formatCode="General" sourceLinked="1"/>
        <c:majorTickMark val="out"/>
        <c:minorTickMark val="none"/>
        <c:tickLblPos val="nextTo"/>
        <c:crossAx val="1089847360"/>
        <c:crosses val="autoZero"/>
        <c:crossBetween val="midCat"/>
      </c:valAx>
      <c:spPr>
        <a:solidFill>
          <a:srgbClr val="FFFF00">
            <a:alpha val="38000"/>
          </a:srgbClr>
        </a:solidFill>
      </c:spPr>
    </c:plotArea>
    <c:legend>
      <c:legendPos val="r"/>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472441</xdr:colOff>
      <xdr:row>0</xdr:row>
      <xdr:rowOff>0</xdr:rowOff>
    </xdr:from>
    <xdr:to>
      <xdr:col>6</xdr:col>
      <xdr:colOff>1078961</xdr:colOff>
      <xdr:row>0</xdr:row>
      <xdr:rowOff>967740</xdr:rowOff>
    </xdr:to>
    <xdr:pic>
      <xdr:nvPicPr>
        <xdr:cNvPr id="1100" name="Afbeelding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0881" y="0"/>
          <a:ext cx="1642840" cy="9677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136699</xdr:colOff>
      <xdr:row>24</xdr:row>
      <xdr:rowOff>3002</xdr:rowOff>
    </xdr:from>
    <xdr:to>
      <xdr:col>3</xdr:col>
      <xdr:colOff>974899</xdr:colOff>
      <xdr:row>30</xdr:row>
      <xdr:rowOff>19050</xdr:rowOff>
    </xdr:to>
    <xdr:graphicFrame macro="">
      <xdr:nvGraphicFramePr>
        <xdr:cNvPr id="1101"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337457</xdr:colOff>
      <xdr:row>0</xdr:row>
      <xdr:rowOff>32657</xdr:rowOff>
    </xdr:from>
    <xdr:to>
      <xdr:col>0</xdr:col>
      <xdr:colOff>2479101</xdr:colOff>
      <xdr:row>0</xdr:row>
      <xdr:rowOff>827314</xdr:rowOff>
    </xdr:to>
    <xdr:pic>
      <xdr:nvPicPr>
        <xdr:cNvPr id="2" name="Afbeelding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7457" y="32657"/>
          <a:ext cx="2141644" cy="794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393700</xdr:colOff>
      <xdr:row>28</xdr:row>
      <xdr:rowOff>25400</xdr:rowOff>
    </xdr:from>
    <xdr:to>
      <xdr:col>14</xdr:col>
      <xdr:colOff>393700</xdr:colOff>
      <xdr:row>62</xdr:row>
      <xdr:rowOff>12700</xdr:rowOff>
    </xdr:to>
    <xdr:graphicFrame macro="">
      <xdr:nvGraphicFramePr>
        <xdr:cNvPr id="207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K61"/>
  <sheetViews>
    <sheetView showGridLines="0" tabSelected="1" zoomScaleNormal="100" workbookViewId="0">
      <selection activeCell="A5" sqref="A5"/>
    </sheetView>
  </sheetViews>
  <sheetFormatPr defaultColWidth="8.77734375" defaultRowHeight="13.2"/>
  <cols>
    <col min="1" max="1" width="46" style="20" customWidth="1"/>
    <col min="2" max="2" width="9.77734375" style="20" customWidth="1"/>
    <col min="3" max="3" width="9.77734375" style="4" customWidth="1"/>
    <col min="4" max="6" width="15.109375" style="4" customWidth="1"/>
    <col min="7" max="7" width="15.77734375" style="4" customWidth="1"/>
    <col min="8" max="8" width="6" customWidth="1"/>
    <col min="9" max="9" width="8.77734375" customWidth="1"/>
    <col min="10" max="10" width="17.77734375" customWidth="1"/>
    <col min="11" max="11" width="17.44140625" customWidth="1"/>
    <col min="14" max="15" width="7.109375" customWidth="1"/>
  </cols>
  <sheetData>
    <row r="1" spans="1:11" ht="76.8" customHeight="1" thickBot="1">
      <c r="A1" s="147"/>
      <c r="B1" s="148"/>
      <c r="C1" s="148"/>
      <c r="D1" s="148"/>
      <c r="E1" s="148"/>
      <c r="F1" s="148"/>
      <c r="G1" s="198"/>
    </row>
    <row r="2" spans="1:11" ht="33" customHeight="1" thickBot="1">
      <c r="A2" s="221" t="s">
        <v>143</v>
      </c>
      <c r="B2" s="146"/>
      <c r="C2" s="217"/>
      <c r="D2" s="217"/>
      <c r="E2" s="146"/>
      <c r="F2" s="146"/>
      <c r="G2" s="199"/>
    </row>
    <row r="3" spans="1:11" s="150" customFormat="1" ht="19.8" customHeight="1" thickBot="1">
      <c r="A3" s="222" t="s">
        <v>73</v>
      </c>
      <c r="B3" s="220"/>
      <c r="C3" s="218" t="s">
        <v>74</v>
      </c>
      <c r="D3" s="219">
        <f ca="1">TODAY()</f>
        <v>42527</v>
      </c>
      <c r="E3" s="216" t="s">
        <v>72</v>
      </c>
      <c r="F3" s="149"/>
      <c r="G3" s="200"/>
    </row>
    <row r="4" spans="1:11" ht="4.95" customHeight="1" thickBot="1">
      <c r="A4" s="223"/>
      <c r="B4" s="125"/>
      <c r="C4" s="31"/>
      <c r="D4" s="31"/>
      <c r="E4" s="31"/>
      <c r="F4" s="31"/>
      <c r="G4" s="84"/>
    </row>
    <row r="5" spans="1:11" s="150" customFormat="1" ht="19.8" customHeight="1" thickBot="1">
      <c r="A5" s="224"/>
      <c r="B5" s="152" t="s">
        <v>24</v>
      </c>
      <c r="C5" s="152" t="s">
        <v>23</v>
      </c>
      <c r="D5" s="153"/>
      <c r="E5" s="154" t="s">
        <v>138</v>
      </c>
      <c r="F5" s="155"/>
      <c r="G5" s="201"/>
    </row>
    <row r="6" spans="1:11" s="150" customFormat="1" ht="19.8" customHeight="1">
      <c r="A6" s="151"/>
      <c r="B6" s="156" t="s">
        <v>0</v>
      </c>
      <c r="C6" s="157" t="s">
        <v>2</v>
      </c>
      <c r="D6" s="153"/>
      <c r="E6" s="153"/>
      <c r="F6" s="158"/>
      <c r="G6" s="202"/>
    </row>
    <row r="7" spans="1:11" s="150" customFormat="1" ht="19.8" customHeight="1">
      <c r="A7" s="159" t="s">
        <v>136</v>
      </c>
      <c r="B7" s="160">
        <v>80</v>
      </c>
      <c r="C7" s="161">
        <v>37</v>
      </c>
      <c r="D7" s="194" t="s">
        <v>52</v>
      </c>
      <c r="E7" s="162"/>
      <c r="F7" s="158"/>
      <c r="G7" s="202"/>
      <c r="J7" s="214"/>
      <c r="K7" s="214"/>
    </row>
    <row r="8" spans="1:11" s="150" customFormat="1" ht="19.8" customHeight="1">
      <c r="A8" s="159" t="s">
        <v>137</v>
      </c>
      <c r="B8" s="160">
        <v>80</v>
      </c>
      <c r="C8" s="161">
        <v>37</v>
      </c>
      <c r="D8" s="194" t="s">
        <v>52</v>
      </c>
      <c r="E8" s="162"/>
      <c r="F8" s="158"/>
      <c r="G8" s="202"/>
      <c r="J8" s="215">
        <f>(J10-J12)*CALCULATORS!E48</f>
        <v>-7.3489168103057665</v>
      </c>
      <c r="K8" s="215" t="s">
        <v>117</v>
      </c>
    </row>
    <row r="9" spans="1:11" s="150" customFormat="1" ht="19.8" customHeight="1">
      <c r="A9" s="159" t="s">
        <v>26</v>
      </c>
      <c r="B9" s="160">
        <v>80</v>
      </c>
      <c r="C9" s="163">
        <v>73</v>
      </c>
      <c r="D9" s="158"/>
      <c r="E9" s="158"/>
      <c r="F9" s="158"/>
      <c r="G9" s="203"/>
      <c r="J9" s="215">
        <f>J8*CALCULATORS!E48</f>
        <v>-3.3334467977437026</v>
      </c>
      <c r="K9" s="215" t="s">
        <v>118</v>
      </c>
    </row>
    <row r="10" spans="1:11" s="150" customFormat="1" ht="19.8" customHeight="1" thickBot="1">
      <c r="A10" s="164" t="s">
        <v>26</v>
      </c>
      <c r="B10" s="165">
        <v>0</v>
      </c>
      <c r="C10" s="166">
        <v>73</v>
      </c>
      <c r="D10" s="158"/>
      <c r="E10" s="158"/>
      <c r="F10" s="158"/>
      <c r="G10" s="202"/>
      <c r="J10" s="215">
        <f>CALCULATORS!E19</f>
        <v>2433.7985779999999</v>
      </c>
      <c r="K10" s="215" t="s">
        <v>116</v>
      </c>
    </row>
    <row r="11" spans="1:11" ht="4.95" customHeight="1" thickBot="1">
      <c r="A11" s="144"/>
      <c r="B11" s="225"/>
      <c r="C11" s="143"/>
      <c r="D11" s="89"/>
      <c r="E11" s="89"/>
      <c r="F11" s="89"/>
      <c r="G11" s="93"/>
      <c r="J11" s="215"/>
      <c r="K11" s="215"/>
    </row>
    <row r="12" spans="1:11" s="150" customFormat="1" ht="19.8" customHeight="1">
      <c r="A12" s="167" t="s">
        <v>139</v>
      </c>
      <c r="B12" s="168">
        <v>4</v>
      </c>
      <c r="C12" s="169">
        <v>95</v>
      </c>
      <c r="D12" s="195" t="s">
        <v>52</v>
      </c>
      <c r="E12" s="170"/>
      <c r="F12" s="196" t="s">
        <v>50</v>
      </c>
      <c r="G12" s="265" t="s">
        <v>142</v>
      </c>
      <c r="J12" s="215">
        <f>LIMITATIONS!D12</f>
        <v>2450</v>
      </c>
      <c r="K12" s="215" t="s">
        <v>115</v>
      </c>
    </row>
    <row r="13" spans="1:11" s="150" customFormat="1" ht="19.8" customHeight="1">
      <c r="A13" s="171" t="s">
        <v>140</v>
      </c>
      <c r="B13" s="160">
        <v>0</v>
      </c>
      <c r="C13" s="161">
        <v>123</v>
      </c>
      <c r="D13" s="194" t="s">
        <v>52</v>
      </c>
      <c r="E13" s="162"/>
      <c r="F13" s="197" t="s">
        <v>51</v>
      </c>
      <c r="G13" s="266"/>
      <c r="J13" s="215">
        <f>LIMITATIONS!G26</f>
        <v>22.679851220175994</v>
      </c>
      <c r="K13" s="215" t="s">
        <v>119</v>
      </c>
    </row>
    <row r="14" spans="1:11" s="150" customFormat="1" ht="19.8" customHeight="1" thickBot="1">
      <c r="A14" s="172" t="s">
        <v>85</v>
      </c>
      <c r="B14" s="173">
        <f>B13+B12</f>
        <v>4</v>
      </c>
      <c r="C14" s="174"/>
      <c r="D14" s="267" t="str">
        <f>IF(B14&gt;J14,"BAGGAGE OVERLOAD, kg:","")</f>
        <v/>
      </c>
      <c r="E14" s="268"/>
      <c r="F14" s="268"/>
      <c r="G14" s="204">
        <f>B14-J14</f>
        <v>-50.431642928422384</v>
      </c>
      <c r="J14" s="215">
        <f>LIMITATIONS!G25</f>
        <v>54.431642928422384</v>
      </c>
      <c r="K14" s="215" t="s">
        <v>120</v>
      </c>
    </row>
    <row r="15" spans="1:11" ht="4.95" customHeight="1" thickBot="1">
      <c r="A15" s="86"/>
      <c r="B15" s="94"/>
      <c r="C15" s="93"/>
      <c r="D15" s="87"/>
      <c r="E15" s="88"/>
      <c r="F15" s="88"/>
      <c r="G15" s="205"/>
    </row>
    <row r="16" spans="1:11" s="150" customFormat="1" ht="19.8" customHeight="1">
      <c r="A16" s="175"/>
      <c r="B16" s="176" t="s">
        <v>40</v>
      </c>
      <c r="C16" s="177" t="s">
        <v>12</v>
      </c>
      <c r="D16" s="269" t="s">
        <v>135</v>
      </c>
      <c r="E16" s="270"/>
      <c r="F16" s="178">
        <v>9</v>
      </c>
      <c r="G16" s="206" t="s">
        <v>53</v>
      </c>
    </row>
    <row r="17" spans="1:7" s="150" customFormat="1" ht="19.8" customHeight="1" thickBot="1">
      <c r="A17" s="159" t="s">
        <v>110</v>
      </c>
      <c r="B17" s="179">
        <v>35</v>
      </c>
      <c r="C17" s="180">
        <f>CALCULATORS!$C$14</f>
        <v>133</v>
      </c>
      <c r="D17" s="153"/>
      <c r="E17" s="181">
        <f>CALCULATORS!B16/F16</f>
        <v>3.7777777777777777</v>
      </c>
      <c r="F17" s="182" t="s">
        <v>86</v>
      </c>
      <c r="G17" s="202"/>
    </row>
    <row r="18" spans="1:7" s="150" customFormat="1" ht="31.8" customHeight="1" thickBot="1">
      <c r="A18" s="183" t="str">
        <f>IF(J9&gt;0,"OVERLOAD @ Take Off","Extra available Take Off loading")</f>
        <v>Extra available Take Off loading</v>
      </c>
      <c r="B18" s="184">
        <f>ABS((J10-J12)*CALCULATORS!E48)</f>
        <v>7.3489168103057665</v>
      </c>
      <c r="C18" s="185" t="str">
        <f>IF(B18&gt;0,"kg","")</f>
        <v>kg</v>
      </c>
      <c r="D18" s="271" t="s">
        <v>141</v>
      </c>
      <c r="E18" s="272"/>
      <c r="F18" s="272"/>
      <c r="G18" s="273"/>
    </row>
    <row r="19" spans="1:7" ht="4.95" customHeight="1" thickBot="1">
      <c r="A19" s="90"/>
      <c r="B19" s="95"/>
      <c r="C19" s="92"/>
      <c r="D19" s="142"/>
      <c r="E19" s="142"/>
      <c r="F19" s="142"/>
      <c r="G19" s="207"/>
    </row>
    <row r="20" spans="1:7" s="150" customFormat="1" ht="25.95" customHeight="1">
      <c r="A20" s="186"/>
      <c r="B20" s="187" t="s">
        <v>40</v>
      </c>
      <c r="C20" s="188" t="s">
        <v>12</v>
      </c>
      <c r="D20" s="189"/>
      <c r="E20" s="189"/>
      <c r="F20" s="189"/>
      <c r="G20" s="208"/>
    </row>
    <row r="21" spans="1:7" s="150" customFormat="1" ht="25.95" customHeight="1" thickBot="1">
      <c r="A21" s="190" t="s">
        <v>112</v>
      </c>
      <c r="B21" s="191">
        <v>15</v>
      </c>
      <c r="C21" s="192">
        <f>B21*CALCULATORS!B44</f>
        <v>57</v>
      </c>
      <c r="D21" s="193"/>
      <c r="E21" s="193"/>
      <c r="F21" s="193"/>
      <c r="G21" s="209"/>
    </row>
    <row r="22" spans="1:7" s="150" customFormat="1" ht="25.95" customHeight="1" thickBot="1">
      <c r="A22" s="210" t="s">
        <v>113</v>
      </c>
      <c r="B22" s="226">
        <f>CALCULATORS!E22</f>
        <v>2343.7985779999999</v>
      </c>
      <c r="C22" s="211" t="s">
        <v>1</v>
      </c>
      <c r="D22" s="227">
        <f>B22*CALCULATORS!E48</f>
        <v>1063.1400607820012</v>
      </c>
      <c r="E22" s="211" t="s">
        <v>0</v>
      </c>
      <c r="F22" s="212"/>
      <c r="G22" s="213"/>
    </row>
    <row r="24" spans="1:7" ht="9" customHeight="1">
      <c r="A24" s="50"/>
      <c r="B24" s="50"/>
      <c r="C24" s="31"/>
      <c r="D24" s="31"/>
      <c r="E24" s="31"/>
      <c r="F24" s="31"/>
      <c r="G24" s="31"/>
    </row>
    <row r="25" spans="1:7" ht="214.2" customHeight="1">
      <c r="A25" s="145"/>
      <c r="B25" s="50"/>
      <c r="C25" s="31"/>
      <c r="D25" s="31"/>
      <c r="E25" s="274" t="s">
        <v>144</v>
      </c>
      <c r="F25" s="274"/>
      <c r="G25" s="274"/>
    </row>
    <row r="26" spans="1:7" ht="20.399999999999999">
      <c r="A26" s="50"/>
      <c r="B26" s="50"/>
      <c r="C26" s="31"/>
      <c r="D26" s="31"/>
      <c r="E26" s="31"/>
      <c r="F26" s="31"/>
      <c r="G26" s="31"/>
    </row>
    <row r="27" spans="1:7" ht="97.95" customHeight="1"/>
    <row r="28" spans="1:7" ht="20.399999999999999">
      <c r="A28" s="50"/>
      <c r="B28" s="50"/>
      <c r="C28" s="31"/>
      <c r="D28" s="31"/>
      <c r="E28" s="31"/>
      <c r="F28" s="31"/>
      <c r="G28" s="31"/>
    </row>
    <row r="29" spans="1:7" ht="20.399999999999999">
      <c r="A29" s="50"/>
      <c r="B29" s="50"/>
      <c r="C29" s="31"/>
      <c r="D29" s="31"/>
      <c r="E29" s="31"/>
      <c r="F29" s="31"/>
      <c r="G29" s="31"/>
    </row>
    <row r="30" spans="1:7" ht="20.399999999999999">
      <c r="A30" s="50"/>
      <c r="B30" s="50"/>
      <c r="C30" s="31"/>
      <c r="D30" s="31"/>
      <c r="E30" s="31"/>
      <c r="F30" s="31"/>
      <c r="G30" s="31"/>
    </row>
    <row r="31" spans="1:7" ht="20.399999999999999">
      <c r="A31" s="50"/>
      <c r="B31" s="50"/>
      <c r="C31" s="31"/>
      <c r="D31" s="31"/>
      <c r="E31" s="31"/>
      <c r="F31" s="31"/>
      <c r="G31" s="31"/>
    </row>
    <row r="32" spans="1:7" ht="20.399999999999999">
      <c r="A32" s="50"/>
      <c r="B32" s="50"/>
      <c r="C32" s="31"/>
      <c r="D32" s="31"/>
      <c r="E32" s="31"/>
      <c r="F32" s="31"/>
      <c r="G32" s="31"/>
    </row>
    <row r="33" spans="1:7" ht="20.399999999999999">
      <c r="A33" s="50"/>
      <c r="B33" s="50"/>
      <c r="C33" s="31"/>
      <c r="D33" s="31"/>
      <c r="E33" s="85"/>
      <c r="F33" s="85"/>
      <c r="G33" s="85"/>
    </row>
    <row r="34" spans="1:7">
      <c r="E34" s="63"/>
      <c r="F34" s="63"/>
      <c r="G34" s="63"/>
    </row>
    <row r="35" spans="1:7">
      <c r="E35" s="63"/>
      <c r="F35" s="63"/>
      <c r="G35" s="63"/>
    </row>
    <row r="36" spans="1:7">
      <c r="E36" s="63"/>
      <c r="F36" s="63"/>
      <c r="G36" s="63"/>
    </row>
    <row r="37" spans="1:7">
      <c r="E37" s="63"/>
      <c r="F37" s="63"/>
      <c r="G37" s="63"/>
    </row>
    <row r="38" spans="1:7">
      <c r="E38" s="63"/>
      <c r="F38" s="63"/>
      <c r="G38" s="63"/>
    </row>
    <row r="39" spans="1:7">
      <c r="E39" s="63"/>
      <c r="F39" s="63"/>
      <c r="G39" s="63"/>
    </row>
    <row r="40" spans="1:7">
      <c r="E40" s="63"/>
      <c r="F40" s="63"/>
      <c r="G40" s="63"/>
    </row>
    <row r="41" spans="1:7">
      <c r="E41" s="63"/>
      <c r="F41" s="63"/>
      <c r="G41" s="63"/>
    </row>
    <row r="42" spans="1:7">
      <c r="E42" s="63"/>
      <c r="F42" s="63"/>
      <c r="G42" s="63"/>
    </row>
    <row r="43" spans="1:7">
      <c r="E43" s="63"/>
      <c r="F43" s="63"/>
      <c r="G43" s="63"/>
    </row>
    <row r="44" spans="1:7">
      <c r="E44" s="63"/>
      <c r="F44" s="63"/>
      <c r="G44" s="63"/>
    </row>
    <row r="45" spans="1:7">
      <c r="E45" s="63"/>
      <c r="F45" s="63"/>
      <c r="G45" s="63"/>
    </row>
    <row r="46" spans="1:7">
      <c r="E46" s="63"/>
      <c r="F46" s="63"/>
      <c r="G46" s="63"/>
    </row>
    <row r="47" spans="1:7">
      <c r="E47" s="63"/>
      <c r="F47" s="63"/>
      <c r="G47" s="63"/>
    </row>
    <row r="48" spans="1:7">
      <c r="E48" s="63"/>
      <c r="F48" s="63"/>
      <c r="G48" s="63"/>
    </row>
    <row r="49" spans="5:7">
      <c r="E49" s="63"/>
      <c r="F49" s="63"/>
      <c r="G49" s="63"/>
    </row>
    <row r="50" spans="5:7">
      <c r="E50" s="63"/>
      <c r="F50" s="63"/>
      <c r="G50" s="63"/>
    </row>
    <row r="51" spans="5:7">
      <c r="E51" s="63"/>
      <c r="F51" s="63"/>
      <c r="G51" s="63"/>
    </row>
    <row r="52" spans="5:7">
      <c r="E52" s="63"/>
      <c r="F52" s="63"/>
      <c r="G52" s="63"/>
    </row>
    <row r="53" spans="5:7">
      <c r="E53" s="63"/>
      <c r="F53" s="63"/>
      <c r="G53" s="63"/>
    </row>
    <row r="54" spans="5:7">
      <c r="E54" s="63"/>
      <c r="F54" s="63"/>
      <c r="G54" s="63"/>
    </row>
    <row r="55" spans="5:7">
      <c r="E55" s="63"/>
      <c r="F55" s="63"/>
      <c r="G55" s="63"/>
    </row>
    <row r="56" spans="5:7">
      <c r="E56" s="63"/>
      <c r="F56" s="63"/>
      <c r="G56" s="63"/>
    </row>
    <row r="57" spans="5:7">
      <c r="E57" s="63"/>
      <c r="F57" s="63"/>
      <c r="G57" s="63"/>
    </row>
    <row r="58" spans="5:7">
      <c r="E58" s="63"/>
      <c r="F58" s="63"/>
      <c r="G58" s="63"/>
    </row>
    <row r="59" spans="5:7">
      <c r="E59" s="63"/>
      <c r="F59" s="63"/>
      <c r="G59" s="63"/>
    </row>
    <row r="60" spans="5:7">
      <c r="E60" s="63"/>
      <c r="F60" s="63"/>
      <c r="G60" s="63"/>
    </row>
    <row r="61" spans="5:7">
      <c r="E61" s="63"/>
      <c r="F61" s="63"/>
      <c r="G61" s="63"/>
    </row>
  </sheetData>
  <sheetProtection algorithmName="SHA-512" hashValue="NRLfw8cI0fTKVK1IaPrZmhy6+nDYMK57+o5e+8TUve0gOZq8NwZxDNyAeNOjxOyfDT+cOqbYe6h/RW6dE14duQ==" saltValue="XgLc+bdzboXnc3pflH3TFA==" spinCount="100000" sheet="1" objects="1" scenarios="1" selectLockedCells="1"/>
  <mergeCells count="5">
    <mergeCell ref="G12:G13"/>
    <mergeCell ref="D14:F14"/>
    <mergeCell ref="D16:E16"/>
    <mergeCell ref="D18:G18"/>
    <mergeCell ref="E25:G25"/>
  </mergeCells>
  <phoneticPr fontId="0" type="noConversion"/>
  <conditionalFormatting sqref="F72">
    <cfRule type="expression" dxfId="13" priority="41">
      <formula>F72&gt;$B$3</formula>
    </cfRule>
    <cfRule type="cellIs" dxfId="12" priority="42" operator="greaterThan">
      <formula>55</formula>
    </cfRule>
  </conditionalFormatting>
  <conditionalFormatting sqref="G14:G15">
    <cfRule type="cellIs" dxfId="11" priority="20" operator="greaterThan">
      <formula>0</formula>
    </cfRule>
    <cfRule type="cellIs" dxfId="10" priority="25" operator="greaterThan">
      <formula>0</formula>
    </cfRule>
  </conditionalFormatting>
  <conditionalFormatting sqref="A18:A20">
    <cfRule type="containsText" dxfId="9" priority="15" operator="containsText" text="OVERLOAD @ Take Off">
      <formula>NOT(ISERROR(SEARCH("OVERLOAD @ Take Off",A18)))</formula>
    </cfRule>
    <cfRule type="containsText" dxfId="8" priority="22" operator="containsText" text="OVERLOAD @ TO">
      <formula>NOT(ISERROR(SEARCH("OVERLOAD @ TO",A18)))</formula>
    </cfRule>
    <cfRule type="containsText" dxfId="7" priority="24" operator="containsText" text="OVERLOAD @ TO">
      <formula>NOT(ISERROR(SEARCH("OVERLOAD @ TO",A18)))</formula>
    </cfRule>
  </conditionalFormatting>
  <conditionalFormatting sqref="D14:D15">
    <cfRule type="containsText" dxfId="6" priority="19" operator="containsText" text="BAGGAGE OVERLOAD">
      <formula>NOT(ISERROR(SEARCH("BAGGAGE OVERLOAD",D14)))</formula>
    </cfRule>
  </conditionalFormatting>
  <conditionalFormatting sqref="C19:C20">
    <cfRule type="containsText" dxfId="5" priority="17" operator="containsText" text="kg">
      <formula>NOT(ISERROR(SEARCH("kg",C19)))</formula>
    </cfRule>
  </conditionalFormatting>
  <conditionalFormatting sqref="B13">
    <cfRule type="cellIs" dxfId="4" priority="52" operator="greaterThan">
      <formula>$J$13</formula>
    </cfRule>
  </conditionalFormatting>
  <conditionalFormatting sqref="B14:B15">
    <cfRule type="cellIs" dxfId="3" priority="58" operator="greaterThan">
      <formula>$J$14</formula>
    </cfRule>
  </conditionalFormatting>
  <conditionalFormatting sqref="B12">
    <cfRule type="cellIs" dxfId="2" priority="59" operator="greaterThan">
      <formula>$J$14</formula>
    </cfRule>
  </conditionalFormatting>
  <conditionalFormatting sqref="B18">
    <cfRule type="expression" dxfId="1" priority="10">
      <formula>$J$10&lt;$J$12</formula>
    </cfRule>
    <cfRule type="expression" dxfId="0" priority="11">
      <formula>$J$10&gt;$J$12</formula>
    </cfRule>
  </conditionalFormatting>
  <pageMargins left="0.75000000000000011" right="0.75000000000000011" top="1" bottom="1" header="0.5" footer="0.5"/>
  <pageSetup paperSize="9" scale="69" orientation="portrait" horizontalDpi="4294967292" verticalDpi="4294967292" r:id="rId1"/>
  <headerFooter>
    <oddFooter>&amp;L&amp;K000000W&amp;"Arial,Vet", PH-STW&amp;C&amp;K00000011-05-2016 V5&amp;R&amp;K000000HvO</oddFooter>
  </headerFooter>
  <drawing r:id="rId2"/>
  <extLst>
    <ext xmlns:mx="http://schemas.microsoft.com/office/mac/excel/2008/main" uri="{64002731-A6B0-56B0-2670-7721B7C09600}">
      <mx:PLV Mode="0" OnePage="0" WScale="5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DG85"/>
  <sheetViews>
    <sheetView topLeftCell="E1" workbookViewId="0">
      <selection activeCell="K66" sqref="K66"/>
    </sheetView>
  </sheetViews>
  <sheetFormatPr defaultColWidth="11.5546875" defaultRowHeight="13.2"/>
  <cols>
    <col min="1" max="1" width="25.6640625" customWidth="1"/>
    <col min="2" max="2" width="19.6640625" customWidth="1"/>
    <col min="10" max="10" width="14.77734375" customWidth="1"/>
    <col min="11" max="11" width="17.77734375" customWidth="1"/>
    <col min="12" max="12" width="16.6640625" style="2" customWidth="1"/>
  </cols>
  <sheetData>
    <row r="1" spans="1:28" s="17" customFormat="1" ht="21" customHeight="1" thickBot="1">
      <c r="A1" s="54" t="s">
        <v>88</v>
      </c>
      <c r="L1" s="25"/>
      <c r="P1" s="18"/>
    </row>
    <row r="2" spans="1:28" s="4" customFormat="1" ht="18" thickBot="1">
      <c r="A2" s="32"/>
      <c r="B2" s="20"/>
      <c r="C2" s="20"/>
      <c r="D2" s="277" t="s">
        <v>24</v>
      </c>
      <c r="E2" s="279"/>
      <c r="F2" s="20"/>
      <c r="G2" s="19" t="s">
        <v>23</v>
      </c>
      <c r="H2" s="20"/>
      <c r="I2" s="19" t="s">
        <v>27</v>
      </c>
      <c r="L2" s="19" t="s">
        <v>27</v>
      </c>
      <c r="N2" s="55" t="s">
        <v>1</v>
      </c>
      <c r="O2" s="56">
        <v>0.4536</v>
      </c>
      <c r="P2" s="57" t="s">
        <v>0</v>
      </c>
    </row>
    <row r="3" spans="1:28" s="4" customFormat="1" ht="13.8" thickBot="1">
      <c r="A3" s="32"/>
      <c r="B3" s="20"/>
      <c r="C3" s="20"/>
      <c r="D3" s="48" t="s">
        <v>0</v>
      </c>
      <c r="E3" s="19" t="s">
        <v>1</v>
      </c>
      <c r="F3" s="20"/>
      <c r="G3" s="19" t="s">
        <v>6</v>
      </c>
      <c r="H3" s="20"/>
      <c r="I3" s="19" t="s">
        <v>28</v>
      </c>
      <c r="J3" s="10"/>
      <c r="K3" s="10"/>
      <c r="L3" s="68" t="s">
        <v>46</v>
      </c>
      <c r="N3" s="290" t="s">
        <v>77</v>
      </c>
      <c r="O3" s="291"/>
      <c r="P3" s="292"/>
    </row>
    <row r="4" spans="1:28" s="4" customFormat="1" ht="13.8" thickBot="1">
      <c r="A4" s="32" t="s">
        <v>38</v>
      </c>
      <c r="B4" s="20"/>
      <c r="C4" s="20"/>
      <c r="D4" s="45">
        <f>N5</f>
        <v>767.43</v>
      </c>
      <c r="E4" s="47">
        <f>D4*CALCULATORS!$B$48</f>
        <v>1691.876178</v>
      </c>
      <c r="F4" s="36"/>
      <c r="G4" s="43">
        <f>I4/E4</f>
        <v>39.011308938792652</v>
      </c>
      <c r="H4" s="36"/>
      <c r="I4" s="59">
        <f>O7</f>
        <v>66002.304266141742</v>
      </c>
      <c r="J4" s="37" t="s">
        <v>39</v>
      </c>
      <c r="K4" s="38"/>
      <c r="L4" s="44">
        <f t="shared" ref="L4:L19" si="0">I4/1000</f>
        <v>66.002304266141749</v>
      </c>
      <c r="N4" s="26" t="s">
        <v>0</v>
      </c>
      <c r="O4" s="20" t="s">
        <v>75</v>
      </c>
      <c r="P4" s="58" t="s">
        <v>49</v>
      </c>
    </row>
    <row r="5" spans="1:28" s="4" customFormat="1" ht="13.8" thickBot="1">
      <c r="A5" s="32" t="s">
        <v>29</v>
      </c>
      <c r="B5" s="20"/>
      <c r="C5" s="20"/>
      <c r="D5" s="62">
        <f>VOORBLAD!B7</f>
        <v>80</v>
      </c>
      <c r="E5" s="59">
        <f>D5*CALCULATORS!$B$48</f>
        <v>176.36799999999999</v>
      </c>
      <c r="F5" s="39"/>
      <c r="G5" s="59">
        <f>VOORBLAD!C7</f>
        <v>37</v>
      </c>
      <c r="H5" s="36"/>
      <c r="I5" s="44">
        <f t="shared" ref="I5:I10" si="1">G5*E5</f>
        <v>6525.616</v>
      </c>
      <c r="J5" s="38" t="s">
        <v>33</v>
      </c>
      <c r="L5" s="44">
        <f t="shared" si="0"/>
        <v>6.5256160000000003</v>
      </c>
      <c r="N5" s="60">
        <v>767.43</v>
      </c>
      <c r="O5" s="61">
        <v>76043.66</v>
      </c>
      <c r="P5" s="65">
        <f>O5/N5</f>
        <v>99.08872470453332</v>
      </c>
    </row>
    <row r="6" spans="1:28" s="4" customFormat="1">
      <c r="A6" s="32" t="s">
        <v>30</v>
      </c>
      <c r="B6" s="20"/>
      <c r="C6" s="20"/>
      <c r="D6" s="62">
        <f>VOORBLAD!B8</f>
        <v>80</v>
      </c>
      <c r="E6" s="59">
        <f>D6*CALCULATORS!$B$48</f>
        <v>176.36799999999999</v>
      </c>
      <c r="F6" s="39"/>
      <c r="G6" s="59">
        <f>VOORBLAD!C8</f>
        <v>37</v>
      </c>
      <c r="H6" s="36"/>
      <c r="I6" s="44">
        <f t="shared" si="1"/>
        <v>6525.616</v>
      </c>
      <c r="J6" s="38" t="s">
        <v>33</v>
      </c>
      <c r="L6" s="44">
        <f t="shared" si="0"/>
        <v>6.5256160000000003</v>
      </c>
      <c r="N6" s="26" t="s">
        <v>1</v>
      </c>
      <c r="O6" s="20" t="s">
        <v>76</v>
      </c>
      <c r="P6" s="58" t="s">
        <v>2</v>
      </c>
    </row>
    <row r="7" spans="1:28" s="4" customFormat="1" ht="13.8" thickBot="1">
      <c r="A7" s="32" t="s">
        <v>26</v>
      </c>
      <c r="B7" s="20"/>
      <c r="C7" s="20"/>
      <c r="D7" s="62">
        <f>VOORBLAD!B9</f>
        <v>80</v>
      </c>
      <c r="E7" s="59">
        <f>D7*CALCULATORS!$B$48</f>
        <v>176.36799999999999</v>
      </c>
      <c r="F7" s="39"/>
      <c r="G7" s="59">
        <v>73</v>
      </c>
      <c r="H7" s="36"/>
      <c r="I7" s="44">
        <f t="shared" si="1"/>
        <v>12874.864</v>
      </c>
      <c r="L7" s="44">
        <f t="shared" si="0"/>
        <v>12.874863999999999</v>
      </c>
      <c r="N7" s="27">
        <f>N5/E48</f>
        <v>1691.876178</v>
      </c>
      <c r="O7" s="28">
        <f>N7*P7</f>
        <v>66002.304266141742</v>
      </c>
      <c r="P7" s="30">
        <f>P5/B52</f>
        <v>39.011308938792645</v>
      </c>
    </row>
    <row r="8" spans="1:28" s="4" customFormat="1">
      <c r="A8" s="32" t="s">
        <v>26</v>
      </c>
      <c r="B8" s="20"/>
      <c r="C8" s="20"/>
      <c r="D8" s="62">
        <f>VOORBLAD!B10</f>
        <v>0</v>
      </c>
      <c r="E8" s="59">
        <f>D8*CALCULATORS!$B$48</f>
        <v>0</v>
      </c>
      <c r="F8" s="39"/>
      <c r="G8" s="59">
        <v>73</v>
      </c>
      <c r="H8" s="36"/>
      <c r="I8" s="44">
        <f t="shared" si="1"/>
        <v>0</v>
      </c>
      <c r="L8" s="44">
        <f t="shared" si="0"/>
        <v>0</v>
      </c>
      <c r="P8" s="5"/>
    </row>
    <row r="9" spans="1:28" s="4" customFormat="1">
      <c r="A9" s="32" t="s">
        <v>31</v>
      </c>
      <c r="B9" s="20"/>
      <c r="C9" s="20"/>
      <c r="D9" s="62">
        <f>VOORBLAD!B12</f>
        <v>4</v>
      </c>
      <c r="E9" s="59">
        <f>D9*CALCULATORS!$B$48</f>
        <v>8.8184000000000005</v>
      </c>
      <c r="F9" s="39"/>
      <c r="G9" s="59">
        <f>VOORBLAD!C12</f>
        <v>95</v>
      </c>
      <c r="H9" s="36"/>
      <c r="I9" s="44">
        <f t="shared" si="1"/>
        <v>837.74800000000005</v>
      </c>
      <c r="J9" s="38" t="s">
        <v>33</v>
      </c>
      <c r="L9" s="44">
        <f t="shared" si="0"/>
        <v>0.83774800000000005</v>
      </c>
      <c r="M9" s="38">
        <f>120/CALCULATORS!B48</f>
        <v>54.431642928422384</v>
      </c>
      <c r="N9" s="38" t="s">
        <v>35</v>
      </c>
      <c r="O9" s="296" t="s">
        <v>36</v>
      </c>
      <c r="P9" s="5"/>
    </row>
    <row r="10" spans="1:28" s="4" customFormat="1" ht="13.8" thickBot="1">
      <c r="A10" s="32" t="s">
        <v>32</v>
      </c>
      <c r="B10" s="20"/>
      <c r="C10" s="20"/>
      <c r="D10" s="62">
        <f>VOORBLAD!B13</f>
        <v>0</v>
      </c>
      <c r="E10" s="59">
        <f>D10*CALCULATORS!$B$48</f>
        <v>0</v>
      </c>
      <c r="F10" s="39"/>
      <c r="G10" s="59">
        <f>VOORBLAD!C13</f>
        <v>123</v>
      </c>
      <c r="H10" s="36"/>
      <c r="I10" s="44">
        <f t="shared" si="1"/>
        <v>0</v>
      </c>
      <c r="J10" s="38" t="s">
        <v>33</v>
      </c>
      <c r="L10" s="44">
        <f t="shared" si="0"/>
        <v>0</v>
      </c>
      <c r="M10" s="38">
        <f>50/CALCULATORS!B48</f>
        <v>22.679851220175994</v>
      </c>
      <c r="N10" s="38" t="s">
        <v>35</v>
      </c>
      <c r="O10" s="296"/>
      <c r="P10" s="5"/>
    </row>
    <row r="11" spans="1:28" s="4" customFormat="1" ht="13.8" thickBot="1">
      <c r="A11" s="33" t="s">
        <v>25</v>
      </c>
      <c r="B11" s="20"/>
      <c r="C11" s="20"/>
      <c r="D11" s="46">
        <f>SUM(D4:D10)</f>
        <v>1011.43</v>
      </c>
      <c r="E11" s="106">
        <f>D11*CALCULATORS!$B$48</f>
        <v>2229.7985779999999</v>
      </c>
      <c r="F11" s="36"/>
      <c r="G11" s="106">
        <f>I11/E11</f>
        <v>41.602927359182189</v>
      </c>
      <c r="H11" s="36"/>
      <c r="I11" s="44">
        <f>SUM(I4:I10)</f>
        <v>92766.148266141739</v>
      </c>
      <c r="J11" s="10"/>
      <c r="K11" s="10"/>
      <c r="L11" s="106">
        <f t="shared" si="0"/>
        <v>92.766148266141741</v>
      </c>
      <c r="P11" s="5"/>
    </row>
    <row r="12" spans="1:28" s="4" customFormat="1">
      <c r="A12" s="32"/>
      <c r="B12" s="20"/>
      <c r="C12" s="20"/>
      <c r="D12" s="26"/>
      <c r="E12" s="49"/>
      <c r="F12" s="20"/>
      <c r="G12" s="49"/>
      <c r="H12" s="20"/>
      <c r="I12" s="49"/>
      <c r="L12" s="44"/>
      <c r="P12" s="5"/>
    </row>
    <row r="13" spans="1:28" s="4" customFormat="1">
      <c r="A13" s="32"/>
      <c r="B13" s="20" t="s">
        <v>40</v>
      </c>
      <c r="C13" s="20" t="s">
        <v>41</v>
      </c>
      <c r="D13" s="26"/>
      <c r="E13" s="49"/>
      <c r="F13" s="20"/>
      <c r="G13" s="49"/>
      <c r="H13" s="20"/>
      <c r="I13" s="49"/>
      <c r="L13" s="44"/>
      <c r="P13" s="5"/>
    </row>
    <row r="14" spans="1:28" s="4" customFormat="1">
      <c r="A14" s="32" t="s">
        <v>42</v>
      </c>
      <c r="B14" s="39">
        <f>VOORBLAD!B17</f>
        <v>35</v>
      </c>
      <c r="C14" s="39">
        <f>B14*B44</f>
        <v>133</v>
      </c>
      <c r="D14" s="46">
        <f>E14/CALCULATORS!$B$48</f>
        <v>95.255375124739174</v>
      </c>
      <c r="E14" s="44">
        <f>B14*CALCULATORS!$C$44</f>
        <v>210</v>
      </c>
      <c r="F14" s="20"/>
      <c r="G14" s="49">
        <v>48</v>
      </c>
      <c r="H14" s="20"/>
      <c r="I14" s="49">
        <f>G14*E14</f>
        <v>10080</v>
      </c>
      <c r="L14" s="44">
        <f t="shared" si="0"/>
        <v>10.08</v>
      </c>
      <c r="P14" s="5"/>
    </row>
    <row r="15" spans="1:28" s="4" customFormat="1">
      <c r="A15" s="32" t="s">
        <v>34</v>
      </c>
      <c r="B15" s="36">
        <v>1</v>
      </c>
      <c r="C15" s="39">
        <f>B15*CALCULATORS!$B$44</f>
        <v>3.8</v>
      </c>
      <c r="D15" s="46">
        <f>E15/CALCULATORS!$B$48</f>
        <v>2.7215821464211194</v>
      </c>
      <c r="E15" s="44">
        <f>B15*CALCULATORS!$C$44</f>
        <v>6</v>
      </c>
      <c r="F15" s="20"/>
      <c r="G15" s="49">
        <v>48</v>
      </c>
      <c r="H15" s="20"/>
      <c r="I15" s="49">
        <f>G15*E15</f>
        <v>288</v>
      </c>
      <c r="L15" s="44">
        <f t="shared" si="0"/>
        <v>0.28799999999999998</v>
      </c>
      <c r="P15" s="5"/>
      <c r="Z15" s="63"/>
      <c r="AA15" s="63"/>
      <c r="AB15" s="63"/>
    </row>
    <row r="16" spans="1:28" s="4" customFormat="1">
      <c r="A16" s="33" t="s">
        <v>43</v>
      </c>
      <c r="B16" s="36">
        <f>B14-B15</f>
        <v>34</v>
      </c>
      <c r="C16" s="36">
        <f>C14-C15</f>
        <v>129.19999999999999</v>
      </c>
      <c r="D16" s="46">
        <f>D14-D15</f>
        <v>92.533792978318061</v>
      </c>
      <c r="E16" s="44">
        <f>E14-E15</f>
        <v>204</v>
      </c>
      <c r="F16" s="20"/>
      <c r="G16" s="49">
        <f>I16/E16</f>
        <v>48</v>
      </c>
      <c r="H16" s="20"/>
      <c r="I16" s="49">
        <f>I14-I15</f>
        <v>9792</v>
      </c>
      <c r="L16" s="44">
        <f t="shared" si="0"/>
        <v>9.7919999999999998</v>
      </c>
      <c r="P16" s="5"/>
      <c r="Z16" s="63"/>
      <c r="AA16" s="63"/>
      <c r="AB16" s="63"/>
    </row>
    <row r="17" spans="1:111" s="4" customFormat="1">
      <c r="A17" s="32"/>
      <c r="B17" s="20"/>
      <c r="C17" s="20"/>
      <c r="D17" s="26"/>
      <c r="E17" s="49"/>
      <c r="F17" s="20"/>
      <c r="G17" s="49"/>
      <c r="H17" s="20"/>
      <c r="I17" s="49"/>
      <c r="L17" s="44"/>
      <c r="P17" s="5"/>
      <c r="Z17" s="63"/>
      <c r="AA17" s="63"/>
      <c r="AB17" s="63"/>
    </row>
    <row r="18" spans="1:111" s="4" customFormat="1" ht="13.8" thickBot="1">
      <c r="A18" s="26"/>
      <c r="B18" s="20"/>
      <c r="C18" s="20"/>
      <c r="D18" s="26"/>
      <c r="E18" s="49"/>
      <c r="F18" s="20"/>
      <c r="G18" s="49"/>
      <c r="H18" s="20"/>
      <c r="I18" s="49"/>
      <c r="L18" s="44"/>
      <c r="P18" s="5"/>
      <c r="Z18" s="63"/>
      <c r="AA18" s="63"/>
      <c r="AB18" s="63"/>
    </row>
    <row r="19" spans="1:111" s="4" customFormat="1" ht="13.8" thickBot="1">
      <c r="A19" s="33" t="s">
        <v>37</v>
      </c>
      <c r="B19" s="20"/>
      <c r="C19" s="20"/>
      <c r="D19" s="44">
        <f>D16+D11</f>
        <v>1103.963792978318</v>
      </c>
      <c r="E19" s="106">
        <f>E16+E11</f>
        <v>2433.7985779999999</v>
      </c>
      <c r="F19" s="36"/>
      <c r="G19" s="106">
        <f>I19/E19</f>
        <v>42.139127367894183</v>
      </c>
      <c r="H19" s="36"/>
      <c r="I19" s="44">
        <f>I11+I16</f>
        <v>102558.14826614174</v>
      </c>
      <c r="L19" s="106">
        <f t="shared" si="0"/>
        <v>102.55814826614174</v>
      </c>
      <c r="P19" s="5"/>
      <c r="Z19" s="63"/>
      <c r="AA19" s="63"/>
      <c r="AB19" s="63"/>
    </row>
    <row r="20" spans="1:111" s="4" customFormat="1">
      <c r="A20" s="33"/>
      <c r="B20" s="20"/>
      <c r="C20" s="20"/>
      <c r="D20" s="36"/>
      <c r="E20" s="36"/>
      <c r="F20" s="36"/>
      <c r="G20" s="66"/>
      <c r="H20" s="36"/>
      <c r="I20" s="36"/>
      <c r="L20" s="36"/>
      <c r="P20" s="5"/>
      <c r="Z20" s="63"/>
      <c r="AA20" s="63"/>
      <c r="AB20" s="63"/>
    </row>
    <row r="21" spans="1:111" s="4" customFormat="1" ht="13.8" thickBot="1">
      <c r="A21" s="33" t="s">
        <v>112</v>
      </c>
      <c r="B21" s="20">
        <f>VOORBLAD!$B$21</f>
        <v>15</v>
      </c>
      <c r="C21" s="20">
        <f>B21*B44</f>
        <v>57</v>
      </c>
      <c r="D21" s="36">
        <f>E21*E48</f>
        <v>40.82373219631679</v>
      </c>
      <c r="E21" s="36">
        <f>B21*C44</f>
        <v>90</v>
      </c>
      <c r="F21" s="36"/>
      <c r="G21" s="67">
        <v>48</v>
      </c>
      <c r="H21" s="36"/>
      <c r="I21" s="36">
        <f>G21*E21</f>
        <v>4320</v>
      </c>
      <c r="L21" s="36">
        <f>I21/1000</f>
        <v>4.32</v>
      </c>
      <c r="P21" s="5"/>
      <c r="Z21" s="63"/>
      <c r="AA21" s="63"/>
      <c r="AB21" s="63"/>
    </row>
    <row r="22" spans="1:111" s="4" customFormat="1" ht="13.8" thickBot="1">
      <c r="A22" s="33" t="s">
        <v>113</v>
      </c>
      <c r="B22" s="20"/>
      <c r="C22" s="20"/>
      <c r="D22" s="36">
        <f>D19-D21</f>
        <v>1063.1400607820012</v>
      </c>
      <c r="E22" s="106">
        <f>E19-E21</f>
        <v>2343.7985779999999</v>
      </c>
      <c r="F22" s="36"/>
      <c r="G22" s="106">
        <f>I22/E22</f>
        <v>41.914074523404608</v>
      </c>
      <c r="H22" s="36"/>
      <c r="I22" s="36">
        <f>I19-I21</f>
        <v>98238.148266141739</v>
      </c>
      <c r="K22" s="36"/>
      <c r="L22" s="106">
        <f>L19-L21</f>
        <v>98.238148266141735</v>
      </c>
      <c r="P22" s="5"/>
      <c r="Z22" s="63"/>
      <c r="AA22" s="63"/>
      <c r="AB22" s="63"/>
    </row>
    <row r="23" spans="1:111" s="4" customFormat="1">
      <c r="A23" s="33"/>
      <c r="B23" s="20"/>
      <c r="C23" s="20"/>
      <c r="D23" s="36"/>
      <c r="E23" s="36"/>
      <c r="F23" s="36"/>
      <c r="G23" s="66"/>
      <c r="H23" s="36"/>
      <c r="I23" s="36"/>
      <c r="L23" s="36"/>
      <c r="P23" s="5"/>
      <c r="Z23" s="63"/>
      <c r="AA23" s="63"/>
      <c r="AB23" s="63"/>
    </row>
    <row r="24" spans="1:111" s="4" customFormat="1">
      <c r="A24" s="33" t="s">
        <v>114</v>
      </c>
      <c r="B24" s="20"/>
      <c r="C24" s="20"/>
      <c r="D24" s="80">
        <f>LIMITATIONS!H21-CALCULATORS!D19</f>
        <v>7.3489168103058091</v>
      </c>
      <c r="E24" s="80">
        <f>LIMITATIONS!$F$21-CALCULATORS!$E$19</f>
        <v>16.201422000000093</v>
      </c>
      <c r="F24" s="36"/>
      <c r="G24" s="66"/>
      <c r="H24" s="36"/>
      <c r="I24" s="36"/>
      <c r="L24" s="36"/>
      <c r="P24" s="5"/>
      <c r="Z24" s="63"/>
      <c r="AA24" s="63"/>
      <c r="AB24" s="63"/>
    </row>
    <row r="25" spans="1:111" s="4" customFormat="1">
      <c r="A25" s="33" t="s">
        <v>124</v>
      </c>
      <c r="B25" s="20"/>
      <c r="C25" s="20"/>
      <c r="D25" s="36">
        <f>D19-LIMITATIONS!H21</f>
        <v>-7.3489168103058091</v>
      </c>
      <c r="E25" s="36">
        <f>CALCULATORS!E19-LIMITATIONS!F21</f>
        <v>-16.201422000000093</v>
      </c>
      <c r="F25" s="36"/>
      <c r="G25" s="66"/>
      <c r="H25" s="36"/>
      <c r="I25" s="36"/>
      <c r="L25" s="36"/>
      <c r="P25" s="5"/>
      <c r="Z25" s="63"/>
      <c r="AA25" s="63"/>
      <c r="AB25" s="63"/>
    </row>
    <row r="26" spans="1:111" s="4" customFormat="1">
      <c r="A26" s="33"/>
      <c r="B26" s="20"/>
      <c r="C26" s="20"/>
      <c r="D26" s="36"/>
      <c r="E26" s="36"/>
      <c r="F26" s="36"/>
      <c r="G26" s="66"/>
      <c r="H26" s="36"/>
      <c r="I26" s="36"/>
      <c r="L26" s="36"/>
      <c r="P26" s="5"/>
      <c r="Z26" s="63"/>
      <c r="AA26" s="63"/>
      <c r="AB26" s="63"/>
    </row>
    <row r="27" spans="1:111" s="4" customFormat="1">
      <c r="A27" s="33"/>
      <c r="B27" s="20"/>
      <c r="C27" s="20"/>
      <c r="D27" s="36"/>
      <c r="E27" s="36"/>
      <c r="F27" s="36"/>
      <c r="G27" s="66"/>
      <c r="H27" s="36"/>
      <c r="I27" s="36"/>
      <c r="L27" s="36"/>
      <c r="P27" s="5"/>
      <c r="Z27" s="63"/>
      <c r="AA27" s="63"/>
      <c r="AB27" s="63"/>
    </row>
    <row r="28" spans="1:111" s="7" customFormat="1" ht="13.8" thickBot="1">
      <c r="A28" s="40"/>
      <c r="B28" s="28"/>
      <c r="C28" s="28"/>
      <c r="D28" s="41"/>
      <c r="E28" s="41"/>
      <c r="F28" s="41"/>
      <c r="G28" s="42"/>
      <c r="H28" s="41"/>
      <c r="I28" s="41"/>
      <c r="L28" s="41"/>
      <c r="P28" s="23"/>
      <c r="R28" s="4"/>
      <c r="S28" s="4"/>
      <c r="T28" s="4"/>
      <c r="U28" s="4"/>
      <c r="V28" s="4"/>
      <c r="W28" s="4"/>
      <c r="X28" s="4"/>
      <c r="Y28" s="4"/>
      <c r="Z28" s="63"/>
      <c r="AA28" s="63"/>
      <c r="AB28" s="63"/>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row>
    <row r="29" spans="1:111" ht="13.8" thickBot="1">
      <c r="R29" s="4"/>
      <c r="S29" s="4"/>
      <c r="T29" s="4"/>
      <c r="U29" s="4"/>
      <c r="V29" s="4"/>
      <c r="W29" s="51"/>
      <c r="X29" s="4"/>
      <c r="Y29" s="20"/>
      <c r="Z29" s="64"/>
      <c r="AA29" s="293"/>
      <c r="AB29" s="293"/>
      <c r="AC29" s="20"/>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row>
    <row r="30" spans="1:111" s="17" customFormat="1" ht="20.399999999999999">
      <c r="A30" s="54" t="s">
        <v>89</v>
      </c>
      <c r="L30" s="25"/>
      <c r="R30" s="4"/>
      <c r="S30" s="4"/>
      <c r="T30" s="4"/>
      <c r="U30" s="4"/>
      <c r="V30" s="4"/>
      <c r="W30" s="51"/>
      <c r="X30" s="4"/>
      <c r="Y30" s="20"/>
      <c r="Z30" s="64"/>
      <c r="AA30" s="64"/>
      <c r="AB30" s="64"/>
      <c r="AC30" s="20"/>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row>
    <row r="31" spans="1:111" s="4" customFormat="1">
      <c r="A31" s="3"/>
      <c r="L31" s="20"/>
      <c r="W31" s="51"/>
      <c r="Y31" s="20"/>
      <c r="Z31" s="64"/>
      <c r="AA31" s="98"/>
      <c r="AB31" s="39"/>
      <c r="AC31" s="36"/>
    </row>
    <row r="32" spans="1:111" s="4" customFormat="1" ht="13.05" customHeight="1" thickBot="1">
      <c r="A32" s="3"/>
      <c r="L32" s="20"/>
      <c r="W32" s="51"/>
      <c r="Y32" s="20"/>
      <c r="Z32" s="64"/>
      <c r="AA32" s="39"/>
      <c r="AB32" s="39"/>
      <c r="AC32" s="36"/>
    </row>
    <row r="33" spans="1:29" s="4" customFormat="1" ht="24" customHeight="1" thickBot="1">
      <c r="A33" s="284" t="s">
        <v>123</v>
      </c>
      <c r="B33" s="285"/>
      <c r="C33" s="16"/>
      <c r="D33" s="18"/>
      <c r="E33" s="282" t="s">
        <v>48</v>
      </c>
      <c r="F33" s="283"/>
      <c r="L33" s="20"/>
      <c r="W33" s="51"/>
      <c r="Y33" s="20"/>
      <c r="Z33" s="64"/>
      <c r="AA33" s="39"/>
      <c r="AB33" s="39"/>
      <c r="AC33" s="36"/>
    </row>
    <row r="34" spans="1:29" s="4" customFormat="1" ht="24" customHeight="1" thickBot="1">
      <c r="A34" s="70" t="s">
        <v>122</v>
      </c>
      <c r="B34" s="73" t="s">
        <v>2</v>
      </c>
      <c r="C34" s="6"/>
      <c r="D34" s="8"/>
      <c r="E34" s="69" t="s">
        <v>1</v>
      </c>
      <c r="F34" s="34" t="s">
        <v>2</v>
      </c>
      <c r="L34" s="20"/>
      <c r="W34" s="51"/>
      <c r="Y34" s="20"/>
      <c r="Z34" s="64"/>
      <c r="AA34" s="39"/>
      <c r="AB34" s="39"/>
      <c r="AC34" s="36"/>
    </row>
    <row r="35" spans="1:29" s="4" customFormat="1" ht="24" customHeight="1" thickBot="1">
      <c r="A35" s="104">
        <f>CALCULATORS!E11</f>
        <v>2229.7985779999999</v>
      </c>
      <c r="B35" s="105">
        <f>CALCULATORS!L11</f>
        <v>92.766148266141741</v>
      </c>
      <c r="C35" s="16"/>
      <c r="D35" s="288" t="s">
        <v>121</v>
      </c>
      <c r="E35" s="78">
        <f>CALCULATORS!E11</f>
        <v>2229.7985779999999</v>
      </c>
      <c r="F35" s="79">
        <f>CALCULATORS!G11</f>
        <v>41.602927359182189</v>
      </c>
      <c r="L35" s="20"/>
      <c r="W35" s="51"/>
      <c r="Y35" s="20"/>
      <c r="Z35" s="64"/>
      <c r="AA35" s="39"/>
      <c r="AB35" s="39"/>
      <c r="AC35" s="36"/>
    </row>
    <row r="36" spans="1:29" s="4" customFormat="1" ht="24" customHeight="1" thickBot="1">
      <c r="A36" s="71">
        <f>E22</f>
        <v>2343.7985779999999</v>
      </c>
      <c r="B36" s="74">
        <f>L22</f>
        <v>98.238148266141735</v>
      </c>
      <c r="C36" s="286" t="s">
        <v>126</v>
      </c>
      <c r="D36" s="289"/>
      <c r="E36" s="21">
        <f>E22</f>
        <v>2343.7985779999999</v>
      </c>
      <c r="F36" s="76">
        <f>G22</f>
        <v>41.914074523404608</v>
      </c>
      <c r="L36" s="20"/>
      <c r="W36" s="51"/>
      <c r="Y36" s="20"/>
      <c r="Z36" s="64"/>
      <c r="AA36" s="39"/>
      <c r="AB36" s="39"/>
      <c r="AC36" s="36"/>
    </row>
    <row r="37" spans="1:29" s="4" customFormat="1" ht="24" customHeight="1" thickBot="1">
      <c r="A37" s="72">
        <f>CALCULATORS!E19</f>
        <v>2433.7985779999999</v>
      </c>
      <c r="B37" s="75">
        <f>CALCULATORS!L19</f>
        <v>102.55814826614174</v>
      </c>
      <c r="C37" s="287"/>
      <c r="D37" s="8"/>
      <c r="E37" s="22">
        <f>CALCULATORS!E19</f>
        <v>2433.7985779999999</v>
      </c>
      <c r="F37" s="77">
        <f>CALCULATORS!G19</f>
        <v>42.139127367894183</v>
      </c>
      <c r="L37" s="20"/>
      <c r="W37" s="51"/>
      <c r="Y37" s="20"/>
      <c r="Z37" s="64"/>
      <c r="AA37" s="39"/>
      <c r="AB37" s="39"/>
      <c r="AC37" s="36"/>
    </row>
    <row r="38" spans="1:29" s="4" customFormat="1">
      <c r="A38" s="96"/>
      <c r="B38" s="96"/>
      <c r="L38" s="20"/>
      <c r="W38" s="51"/>
      <c r="Y38" s="20"/>
      <c r="Z38" s="64"/>
      <c r="AA38" s="39"/>
      <c r="AB38" s="39"/>
      <c r="AC38" s="36"/>
    </row>
    <row r="39" spans="1:29" s="4" customFormat="1" ht="13.8" thickBot="1">
      <c r="L39" s="20"/>
      <c r="W39" s="51"/>
      <c r="Y39" s="20"/>
      <c r="Z39" s="64"/>
      <c r="AA39" s="39"/>
      <c r="AB39" s="39"/>
      <c r="AC39" s="36"/>
    </row>
    <row r="40" spans="1:29" s="81" customFormat="1" ht="13.8" thickBot="1">
      <c r="A40" s="9"/>
      <c r="L40" s="82"/>
      <c r="W40" s="100"/>
      <c r="Y40" s="82"/>
      <c r="Z40" s="101"/>
      <c r="AA40" s="102"/>
      <c r="AB40" s="102"/>
      <c r="AC40" s="103"/>
    </row>
    <row r="41" spans="1:29" s="4" customFormat="1" ht="20.399999999999999">
      <c r="A41" s="99" t="s">
        <v>90</v>
      </c>
      <c r="L41" s="20"/>
      <c r="W41" s="51"/>
      <c r="Y41" s="20"/>
      <c r="Z41" s="64"/>
      <c r="AA41" s="64"/>
      <c r="AB41" s="64"/>
      <c r="AC41" s="20"/>
    </row>
    <row r="42" spans="1:29" s="4" customFormat="1" ht="13.8" thickBot="1">
      <c r="A42" s="3"/>
      <c r="L42" s="20"/>
      <c r="W42" s="51"/>
      <c r="Y42" s="20"/>
      <c r="Z42" s="64"/>
      <c r="AA42" s="64"/>
      <c r="AB42" s="64"/>
      <c r="AC42" s="20"/>
    </row>
    <row r="43" spans="1:29" s="4" customFormat="1">
      <c r="A43" s="24" t="s">
        <v>11</v>
      </c>
      <c r="B43" s="25" t="s">
        <v>12</v>
      </c>
      <c r="C43" s="29" t="s">
        <v>13</v>
      </c>
      <c r="L43" s="20"/>
      <c r="W43" s="51"/>
      <c r="Y43" s="39"/>
      <c r="Z43" s="39"/>
      <c r="AA43" s="39"/>
      <c r="AB43" s="39"/>
      <c r="AC43" s="20"/>
    </row>
    <row r="44" spans="1:29" s="4" customFormat="1" ht="13.8" thickBot="1">
      <c r="A44" s="27">
        <v>1</v>
      </c>
      <c r="B44" s="28">
        <v>3.8</v>
      </c>
      <c r="C44" s="30">
        <f>A44*6</f>
        <v>6</v>
      </c>
      <c r="L44" s="20"/>
      <c r="W44" s="51"/>
      <c r="Y44" s="36"/>
      <c r="Z44" s="39"/>
      <c r="AA44" s="39"/>
      <c r="AB44" s="39"/>
      <c r="AC44" s="20"/>
    </row>
    <row r="45" spans="1:29" s="4" customFormat="1">
      <c r="A45" s="3"/>
      <c r="L45" s="20"/>
      <c r="W45" s="52"/>
      <c r="Y45" s="36"/>
      <c r="Z45" s="36"/>
      <c r="AA45" s="36"/>
      <c r="AB45" s="36"/>
      <c r="AC45" s="20"/>
    </row>
    <row r="46" spans="1:29" s="4" customFormat="1" ht="13.8" thickBot="1">
      <c r="A46" s="3"/>
      <c r="L46" s="20"/>
      <c r="W46" s="51"/>
      <c r="Y46" s="20"/>
      <c r="Z46" s="20"/>
      <c r="AA46" s="20"/>
      <c r="AB46" s="20"/>
      <c r="AC46" s="20"/>
    </row>
    <row r="47" spans="1:29" s="4" customFormat="1">
      <c r="A47" s="24" t="s">
        <v>14</v>
      </c>
      <c r="B47" s="29" t="s">
        <v>13</v>
      </c>
      <c r="D47" s="24" t="s">
        <v>81</v>
      </c>
      <c r="E47" s="29" t="s">
        <v>0</v>
      </c>
      <c r="L47" s="20"/>
      <c r="W47" s="20"/>
      <c r="Y47" s="20"/>
      <c r="Z47" s="20"/>
      <c r="AA47" s="20"/>
      <c r="AB47" s="20"/>
      <c r="AC47" s="20"/>
    </row>
    <row r="48" spans="1:29" s="4" customFormat="1" ht="13.8" thickBot="1">
      <c r="A48" s="27">
        <v>1</v>
      </c>
      <c r="B48" s="30">
        <v>2.2046000000000001</v>
      </c>
      <c r="D48" s="27">
        <v>1</v>
      </c>
      <c r="E48" s="30">
        <f>A48/B48</f>
        <v>0.4535970244035199</v>
      </c>
      <c r="L48" s="20"/>
      <c r="W48" s="52"/>
      <c r="Y48" s="20"/>
      <c r="Z48" s="20"/>
      <c r="AA48" s="36"/>
      <c r="AB48" s="36"/>
      <c r="AC48" s="36"/>
    </row>
    <row r="49" spans="1:111" s="4" customFormat="1">
      <c r="A49" s="3"/>
      <c r="L49" s="20"/>
      <c r="W49" s="52"/>
      <c r="Y49" s="20"/>
      <c r="Z49" s="20"/>
      <c r="AA49" s="36"/>
      <c r="AB49" s="36"/>
      <c r="AC49" s="36"/>
    </row>
    <row r="50" spans="1:111" s="4" customFormat="1" ht="13.8" thickBot="1">
      <c r="A50" s="3"/>
      <c r="L50" s="20"/>
    </row>
    <row r="51" spans="1:111" s="4" customFormat="1">
      <c r="A51" s="24" t="s">
        <v>2</v>
      </c>
      <c r="B51" s="29" t="s">
        <v>49</v>
      </c>
      <c r="L51" s="20"/>
    </row>
    <row r="52" spans="1:111" s="4" customFormat="1" ht="13.8" thickBot="1">
      <c r="A52" s="27">
        <v>1</v>
      </c>
      <c r="B52" s="30">
        <v>2.54</v>
      </c>
      <c r="L52" s="20"/>
    </row>
    <row r="53" spans="1:111" s="4" customFormat="1">
      <c r="A53" s="3"/>
      <c r="L53" s="20"/>
      <c r="X53" s="294"/>
      <c r="Y53" s="294"/>
      <c r="AA53" s="295"/>
      <c r="AB53" s="295"/>
    </row>
    <row r="54" spans="1:111" s="4" customFormat="1">
      <c r="A54" s="3"/>
      <c r="L54" s="20"/>
      <c r="X54" s="96"/>
      <c r="Y54" s="96"/>
      <c r="AA54" s="96"/>
      <c r="AB54" s="96"/>
    </row>
    <row r="55" spans="1:111" s="4" customFormat="1">
      <c r="L55" s="20"/>
      <c r="X55" s="96"/>
      <c r="Y55" s="96"/>
      <c r="AA55" s="96"/>
      <c r="AB55" s="96"/>
    </row>
    <row r="56" spans="1:111" s="4" customFormat="1">
      <c r="L56" s="20"/>
    </row>
    <row r="57" spans="1:111" s="4" customFormat="1">
      <c r="L57" s="20"/>
    </row>
    <row r="58" spans="1:111" s="4" customFormat="1">
      <c r="L58" s="20"/>
    </row>
    <row r="59" spans="1:111" s="4" customFormat="1">
      <c r="L59" s="20"/>
    </row>
    <row r="60" spans="1:111" s="4" customFormat="1">
      <c r="L60" s="20"/>
      <c r="X60" s="10"/>
      <c r="Y60" s="10"/>
      <c r="Z60" s="10"/>
    </row>
    <row r="61" spans="1:111" s="7" customFormat="1" ht="13.8" thickBot="1">
      <c r="A61" s="6"/>
      <c r="L61" s="28"/>
      <c r="R61" s="4"/>
      <c r="S61" s="4"/>
      <c r="T61" s="4"/>
      <c r="U61" s="4"/>
      <c r="V61" s="4"/>
      <c r="W61" s="4"/>
      <c r="X61" s="10"/>
      <c r="Y61" s="10"/>
      <c r="Z61" s="10"/>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row>
    <row r="62" spans="1:111" ht="13.8" thickBot="1">
      <c r="R62" s="4"/>
      <c r="S62" s="4"/>
      <c r="T62" s="4"/>
      <c r="U62" s="4"/>
      <c r="V62" s="4"/>
      <c r="W62" s="4"/>
      <c r="X62" s="10"/>
      <c r="Y62" s="10"/>
      <c r="Z62" s="10"/>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row>
    <row r="63" spans="1:111" s="17" customFormat="1" ht="20.399999999999999">
      <c r="A63" s="54" t="s">
        <v>91</v>
      </c>
      <c r="L63" s="25"/>
      <c r="R63" s="4"/>
      <c r="S63" s="4"/>
      <c r="T63" s="4"/>
      <c r="U63" s="4"/>
      <c r="V63" s="4"/>
      <c r="W63" s="4"/>
      <c r="X63" s="10"/>
      <c r="Y63" s="10"/>
      <c r="Z63" s="10"/>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row>
    <row r="64" spans="1:111" s="4" customFormat="1" ht="13.8" thickBot="1">
      <c r="A64" s="3"/>
      <c r="L64" s="20"/>
      <c r="X64" s="10"/>
      <c r="Y64" s="10"/>
      <c r="Z64" s="10"/>
    </row>
    <row r="65" spans="1:111" s="4" customFormat="1" ht="13.8" thickBot="1">
      <c r="A65" s="277" t="s">
        <v>22</v>
      </c>
      <c r="B65" s="278"/>
      <c r="C65" s="278"/>
      <c r="D65" s="278"/>
      <c r="E65" s="278"/>
      <c r="F65" s="278"/>
      <c r="G65" s="279"/>
      <c r="L65" s="20"/>
      <c r="X65" s="20"/>
      <c r="Y65" s="20"/>
      <c r="Z65" s="10"/>
    </row>
    <row r="66" spans="1:111" s="4" customFormat="1" ht="27" thickBot="1">
      <c r="A66" s="3"/>
      <c r="C66" s="69" t="s">
        <v>17</v>
      </c>
      <c r="D66" s="130" t="s">
        <v>133</v>
      </c>
      <c r="E66" s="130" t="s">
        <v>18</v>
      </c>
      <c r="F66" s="130" t="s">
        <v>19</v>
      </c>
      <c r="G66" s="131" t="s">
        <v>20</v>
      </c>
      <c r="H66" s="132" t="s">
        <v>80</v>
      </c>
      <c r="I66" s="133" t="s">
        <v>82</v>
      </c>
      <c r="L66" s="20"/>
      <c r="X66" s="20"/>
      <c r="Y66" s="20"/>
      <c r="Z66" s="10"/>
    </row>
    <row r="67" spans="1:111" s="4" customFormat="1">
      <c r="A67" s="13" t="s">
        <v>16</v>
      </c>
      <c r="B67" s="137"/>
      <c r="C67" s="14">
        <v>82</v>
      </c>
      <c r="D67" s="14">
        <f>(E67+C67)/2</f>
        <v>95</v>
      </c>
      <c r="E67" s="14">
        <v>108</v>
      </c>
      <c r="F67" s="14">
        <v>120</v>
      </c>
      <c r="G67" s="280">
        <v>120</v>
      </c>
      <c r="H67" s="138">
        <f>F67/B48</f>
        <v>54.431642928422384</v>
      </c>
      <c r="I67" s="275">
        <f>H67</f>
        <v>54.431642928422384</v>
      </c>
      <c r="L67" s="20"/>
    </row>
    <row r="68" spans="1:111" s="4" customFormat="1">
      <c r="A68" s="139" t="s">
        <v>15</v>
      </c>
      <c r="B68" s="134"/>
      <c r="C68" s="136">
        <v>108</v>
      </c>
      <c r="D68" s="136">
        <f>(E68+C68)/2</f>
        <v>125</v>
      </c>
      <c r="E68" s="136">
        <v>142</v>
      </c>
      <c r="F68" s="136">
        <v>50</v>
      </c>
      <c r="G68" s="281"/>
      <c r="H68" s="135">
        <f>F68/B48</f>
        <v>22.679851220175994</v>
      </c>
      <c r="I68" s="276"/>
      <c r="L68" s="20"/>
    </row>
    <row r="69" spans="1:111" s="4" customFormat="1">
      <c r="A69" s="139"/>
      <c r="B69" s="134"/>
      <c r="C69" s="134"/>
      <c r="D69" s="134"/>
      <c r="E69" s="134"/>
      <c r="F69" s="134"/>
      <c r="G69" s="134"/>
      <c r="H69" s="134"/>
      <c r="I69" s="140"/>
      <c r="L69" s="20"/>
    </row>
    <row r="70" spans="1:111" s="4" customFormat="1">
      <c r="A70" s="139" t="s">
        <v>21</v>
      </c>
      <c r="B70" s="134"/>
      <c r="C70" s="136">
        <v>34</v>
      </c>
      <c r="D70" s="136">
        <v>37</v>
      </c>
      <c r="E70" s="136">
        <v>46</v>
      </c>
      <c r="F70" s="134"/>
      <c r="G70" s="134"/>
      <c r="H70" s="134"/>
      <c r="I70" s="140"/>
      <c r="L70" s="20"/>
      <c r="X70" s="10"/>
      <c r="Y70" s="97"/>
    </row>
    <row r="71" spans="1:111" s="4" customFormat="1" ht="13.8" thickBot="1">
      <c r="A71" s="11" t="s">
        <v>134</v>
      </c>
      <c r="B71" s="141"/>
      <c r="C71" s="15">
        <v>34</v>
      </c>
      <c r="D71" s="15">
        <v>37</v>
      </c>
      <c r="E71" s="15">
        <v>46</v>
      </c>
      <c r="F71" s="141"/>
      <c r="G71" s="141"/>
      <c r="H71" s="141"/>
      <c r="I71" s="12"/>
      <c r="L71" s="20"/>
      <c r="X71" s="10"/>
    </row>
    <row r="72" spans="1:111" s="4" customFormat="1" ht="13.8" thickBot="1">
      <c r="A72" s="3"/>
      <c r="L72" s="20"/>
      <c r="X72" s="10"/>
    </row>
    <row r="73" spans="1:111" s="4" customFormat="1" ht="13.8" thickBot="1">
      <c r="A73" s="34" t="s">
        <v>54</v>
      </c>
      <c r="L73" s="20"/>
    </row>
    <row r="74" spans="1:111" s="4" customFormat="1">
      <c r="A74" s="34" t="s">
        <v>53</v>
      </c>
      <c r="L74" s="20"/>
    </row>
    <row r="75" spans="1:111" s="4" customFormat="1" ht="13.8" thickBot="1">
      <c r="A75" s="35">
        <v>7.5</v>
      </c>
      <c r="L75" s="20"/>
    </row>
    <row r="76" spans="1:111" s="7" customFormat="1" ht="13.8" thickBot="1">
      <c r="A76" s="6"/>
      <c r="L76" s="28"/>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row>
    <row r="77" spans="1:111">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row>
    <row r="78" spans="1:111">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row>
    <row r="79" spans="1:111">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row>
    <row r="80" spans="1:111">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row>
    <row r="81" spans="18:111">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row>
    <row r="82" spans="18:111">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row>
    <row r="83" spans="18:111">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row>
    <row r="84" spans="18:111">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row>
    <row r="85" spans="18:111">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row>
  </sheetData>
  <sheetProtection password="CD06" sheet="1" objects="1" scenarios="1"/>
  <mergeCells count="13">
    <mergeCell ref="N3:P3"/>
    <mergeCell ref="AA29:AB29"/>
    <mergeCell ref="X53:Y53"/>
    <mergeCell ref="AA53:AB53"/>
    <mergeCell ref="O9:O10"/>
    <mergeCell ref="I67:I68"/>
    <mergeCell ref="A65:G65"/>
    <mergeCell ref="G67:G68"/>
    <mergeCell ref="E33:F33"/>
    <mergeCell ref="D2:E2"/>
    <mergeCell ref="A33:B33"/>
    <mergeCell ref="C36:C37"/>
    <mergeCell ref="D35:D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B3:N32"/>
  <sheetViews>
    <sheetView topLeftCell="A5" workbookViewId="0">
      <selection activeCell="K66" sqref="K66"/>
    </sheetView>
  </sheetViews>
  <sheetFormatPr defaultColWidth="8.77734375" defaultRowHeight="13.2"/>
  <cols>
    <col min="5" max="5" width="12.33203125" customWidth="1"/>
    <col min="10" max="10" width="69.33203125" customWidth="1"/>
    <col min="11" max="13" width="11.77734375" customWidth="1"/>
  </cols>
  <sheetData>
    <row r="3" spans="2:14" ht="13.8" thickBot="1"/>
    <row r="4" spans="2:14" ht="34.049999999999997" customHeight="1" thickBot="1">
      <c r="B4" s="303" t="s">
        <v>111</v>
      </c>
      <c r="C4" s="304"/>
      <c r="D4" s="304"/>
      <c r="E4" s="304"/>
      <c r="F4" s="304"/>
      <c r="G4" s="304"/>
      <c r="H4" s="305"/>
      <c r="J4" s="306" t="s">
        <v>131</v>
      </c>
      <c r="K4" s="307"/>
      <c r="L4" s="307"/>
      <c r="M4" s="283"/>
    </row>
    <row r="5" spans="2:14" ht="22.05" customHeight="1" thickBot="1">
      <c r="B5" s="83"/>
      <c r="C5" s="50" t="s">
        <v>3</v>
      </c>
      <c r="D5" s="50"/>
      <c r="E5" s="50"/>
      <c r="F5" s="50"/>
      <c r="G5" s="50" t="s">
        <v>47</v>
      </c>
      <c r="H5" s="125"/>
      <c r="J5" s="107"/>
      <c r="K5" s="111" t="s">
        <v>127</v>
      </c>
      <c r="L5" s="109" t="s">
        <v>133</v>
      </c>
      <c r="M5" s="110" t="s">
        <v>128</v>
      </c>
      <c r="N5" s="2"/>
    </row>
    <row r="6" spans="2:14" ht="20.399999999999999">
      <c r="B6" s="83"/>
      <c r="C6" s="50"/>
      <c r="D6" s="50"/>
      <c r="E6" s="50"/>
      <c r="F6" s="50"/>
      <c r="G6" s="50"/>
      <c r="H6" s="125"/>
      <c r="J6" s="113" t="s">
        <v>109</v>
      </c>
      <c r="K6" s="114">
        <v>34</v>
      </c>
      <c r="L6" s="114">
        <v>37</v>
      </c>
      <c r="M6" s="115">
        <v>46</v>
      </c>
      <c r="N6" s="2"/>
    </row>
    <row r="7" spans="2:14" ht="20.399999999999999">
      <c r="B7" s="83" t="s">
        <v>8</v>
      </c>
      <c r="C7" s="50" t="s">
        <v>4</v>
      </c>
      <c r="D7" s="50" t="s">
        <v>5</v>
      </c>
      <c r="E7" s="50"/>
      <c r="F7" s="50"/>
      <c r="G7" s="50" t="s">
        <v>44</v>
      </c>
      <c r="H7" s="125"/>
      <c r="J7" s="116" t="s">
        <v>125</v>
      </c>
      <c r="K7" s="112">
        <v>34</v>
      </c>
      <c r="L7" s="112">
        <v>37</v>
      </c>
      <c r="M7" s="117">
        <v>46</v>
      </c>
      <c r="N7" s="2"/>
    </row>
    <row r="8" spans="2:14" ht="21" thickBot="1">
      <c r="B8" s="83"/>
      <c r="C8" s="50" t="s">
        <v>6</v>
      </c>
      <c r="D8" s="50" t="s">
        <v>7</v>
      </c>
      <c r="E8" s="50"/>
      <c r="F8" s="50"/>
      <c r="G8" s="50" t="s">
        <v>45</v>
      </c>
      <c r="H8" s="125"/>
      <c r="J8" s="116" t="s">
        <v>26</v>
      </c>
      <c r="K8" s="112"/>
      <c r="L8" s="112">
        <v>73</v>
      </c>
      <c r="M8" s="117"/>
      <c r="N8" s="2"/>
    </row>
    <row r="9" spans="2:14" ht="20.399999999999999">
      <c r="B9" s="111">
        <v>1</v>
      </c>
      <c r="C9" s="109">
        <v>35</v>
      </c>
      <c r="D9" s="109">
        <v>1500</v>
      </c>
      <c r="E9" s="297" t="s">
        <v>9</v>
      </c>
      <c r="F9" s="109"/>
      <c r="G9" s="109">
        <f>C9*D9/1000</f>
        <v>52.5</v>
      </c>
      <c r="H9" s="110"/>
      <c r="J9" s="116" t="s">
        <v>26</v>
      </c>
      <c r="K9" s="112"/>
      <c r="L9" s="112">
        <v>73</v>
      </c>
      <c r="M9" s="117"/>
      <c r="N9" s="2"/>
    </row>
    <row r="10" spans="2:14" ht="40.799999999999997">
      <c r="B10" s="83">
        <v>2</v>
      </c>
      <c r="C10" s="50">
        <v>35</v>
      </c>
      <c r="D10" s="50">
        <v>1950</v>
      </c>
      <c r="E10" s="298"/>
      <c r="F10" s="50"/>
      <c r="G10" s="50">
        <f t="shared" ref="G10:G17" si="0">C10*D10/1000</f>
        <v>68.25</v>
      </c>
      <c r="H10" s="125"/>
      <c r="J10" s="118" t="s">
        <v>129</v>
      </c>
      <c r="K10" s="112">
        <v>82</v>
      </c>
      <c r="L10" s="112">
        <v>95</v>
      </c>
      <c r="M10" s="117">
        <v>108</v>
      </c>
      <c r="N10" s="2"/>
    </row>
    <row r="11" spans="2:14" ht="41.4" thickBot="1">
      <c r="B11" s="83">
        <v>3</v>
      </c>
      <c r="C11" s="50">
        <v>40</v>
      </c>
      <c r="D11" s="50">
        <v>2450</v>
      </c>
      <c r="E11" s="298"/>
      <c r="F11" s="50"/>
      <c r="G11" s="50">
        <f t="shared" si="0"/>
        <v>98</v>
      </c>
      <c r="H11" s="125"/>
      <c r="J11" s="119" t="s">
        <v>130</v>
      </c>
      <c r="K11" s="120">
        <v>108</v>
      </c>
      <c r="L11" s="120">
        <v>123</v>
      </c>
      <c r="M11" s="121">
        <v>142</v>
      </c>
      <c r="N11" s="2"/>
    </row>
    <row r="12" spans="2:14" ht="20.399999999999999">
      <c r="B12" s="83">
        <v>4</v>
      </c>
      <c r="C12" s="50">
        <v>47.4</v>
      </c>
      <c r="D12" s="50">
        <v>2450</v>
      </c>
      <c r="E12" s="298"/>
      <c r="F12" s="50"/>
      <c r="G12" s="50">
        <f t="shared" si="0"/>
        <v>116.13</v>
      </c>
      <c r="H12" s="125"/>
      <c r="N12" s="2"/>
    </row>
    <row r="13" spans="2:14" ht="21" thickBot="1">
      <c r="B13" s="91">
        <v>5</v>
      </c>
      <c r="C13" s="126">
        <v>47.4</v>
      </c>
      <c r="D13" s="126">
        <v>1500</v>
      </c>
      <c r="E13" s="299"/>
      <c r="F13" s="126"/>
      <c r="G13" s="126">
        <f t="shared" si="0"/>
        <v>71.099999999999994</v>
      </c>
      <c r="H13" s="127"/>
      <c r="J13" s="108"/>
      <c r="K13" s="2"/>
      <c r="L13" s="2"/>
      <c r="M13" s="2"/>
      <c r="N13" s="2"/>
    </row>
    <row r="14" spans="2:14" ht="21" thickBot="1">
      <c r="B14" s="83"/>
      <c r="C14" s="50"/>
      <c r="D14" s="50"/>
      <c r="E14" s="50"/>
      <c r="F14" s="50"/>
      <c r="G14" s="50"/>
      <c r="H14" s="125"/>
      <c r="J14" s="53"/>
    </row>
    <row r="15" spans="2:14" ht="20.399999999999999">
      <c r="B15" s="111">
        <v>7</v>
      </c>
      <c r="C15" s="109">
        <v>36.5</v>
      </c>
      <c r="D15" s="109">
        <v>2100</v>
      </c>
      <c r="E15" s="300" t="s">
        <v>10</v>
      </c>
      <c r="F15" s="109"/>
      <c r="G15" s="109">
        <f t="shared" si="0"/>
        <v>76.650000000000006</v>
      </c>
      <c r="H15" s="110"/>
      <c r="J15" s="53"/>
    </row>
    <row r="16" spans="2:14" ht="22.05" customHeight="1">
      <c r="B16" s="83">
        <v>8</v>
      </c>
      <c r="C16" s="50">
        <v>40.5</v>
      </c>
      <c r="D16" s="50">
        <v>2100</v>
      </c>
      <c r="E16" s="301"/>
      <c r="F16" s="50"/>
      <c r="G16" s="50">
        <f t="shared" si="0"/>
        <v>85.05</v>
      </c>
      <c r="H16" s="125"/>
      <c r="J16" s="53"/>
    </row>
    <row r="17" spans="2:10" ht="21" thickBot="1">
      <c r="B17" s="91">
        <v>9</v>
      </c>
      <c r="C17" s="126">
        <v>40.5</v>
      </c>
      <c r="D17" s="126">
        <v>1500</v>
      </c>
      <c r="E17" s="302"/>
      <c r="F17" s="126"/>
      <c r="G17" s="126">
        <f t="shared" si="0"/>
        <v>60.75</v>
      </c>
      <c r="H17" s="127"/>
      <c r="J17" s="53"/>
    </row>
    <row r="18" spans="2:10" ht="20.399999999999999">
      <c r="B18" s="50"/>
      <c r="C18" s="50"/>
      <c r="D18" s="50"/>
      <c r="E18" s="50"/>
      <c r="F18" s="50"/>
      <c r="G18" s="50"/>
      <c r="H18" s="50"/>
      <c r="J18" s="53"/>
    </row>
    <row r="19" spans="2:10" ht="21" thickBot="1">
      <c r="B19" s="50"/>
      <c r="C19" s="50"/>
      <c r="D19" s="50"/>
      <c r="E19" s="50"/>
      <c r="F19" s="50"/>
      <c r="G19" s="50"/>
      <c r="H19" s="50"/>
    </row>
    <row r="20" spans="2:10" ht="20.399999999999999">
      <c r="B20" s="111"/>
      <c r="C20" s="109"/>
      <c r="D20" s="109"/>
      <c r="E20" s="109"/>
      <c r="F20" s="109" t="s">
        <v>1</v>
      </c>
      <c r="G20" s="109"/>
      <c r="H20" s="110" t="s">
        <v>0</v>
      </c>
      <c r="J20" s="53"/>
    </row>
    <row r="21" spans="2:10" ht="21" thickBot="1">
      <c r="B21" s="91"/>
      <c r="C21" s="126" t="s">
        <v>78</v>
      </c>
      <c r="D21" s="126"/>
      <c r="E21" s="126"/>
      <c r="F21" s="126">
        <f>D11</f>
        <v>2450</v>
      </c>
      <c r="G21" s="126"/>
      <c r="H21" s="127">
        <f>F21*1/CALCULATORS!B48</f>
        <v>1111.3127097886238</v>
      </c>
      <c r="I21" s="1"/>
      <c r="J21" s="53"/>
    </row>
    <row r="22" spans="2:10" ht="20.399999999999999">
      <c r="B22" s="128"/>
      <c r="C22" s="128"/>
      <c r="D22" s="128"/>
      <c r="E22" s="128"/>
      <c r="F22" s="128"/>
      <c r="G22" s="128"/>
      <c r="H22" s="128"/>
      <c r="I22" s="1"/>
    </row>
    <row r="23" spans="2:10" ht="21" thickBot="1">
      <c r="B23" s="128"/>
      <c r="C23" s="128"/>
      <c r="D23" s="128"/>
      <c r="E23" s="128"/>
      <c r="F23" s="128"/>
      <c r="G23" s="128"/>
      <c r="H23" s="128"/>
      <c r="I23" s="1"/>
    </row>
    <row r="24" spans="2:10" ht="20.399999999999999">
      <c r="B24" s="111"/>
      <c r="C24" s="109"/>
      <c r="D24" s="109"/>
      <c r="E24" s="109"/>
      <c r="F24" s="109" t="s">
        <v>1</v>
      </c>
      <c r="G24" s="109" t="s">
        <v>0</v>
      </c>
      <c r="H24" s="110"/>
      <c r="I24" s="1"/>
    </row>
    <row r="25" spans="2:10" ht="20.399999999999999">
      <c r="B25" s="83"/>
      <c r="C25" s="50" t="s">
        <v>79</v>
      </c>
      <c r="D25" s="50"/>
      <c r="E25" s="50" t="s">
        <v>83</v>
      </c>
      <c r="F25" s="50">
        <v>120</v>
      </c>
      <c r="G25" s="50">
        <f>F25*1/CALCULATORS!$B$48</f>
        <v>54.431642928422384</v>
      </c>
      <c r="H25" s="125"/>
      <c r="I25" s="1"/>
    </row>
    <row r="26" spans="2:10" ht="20.399999999999999">
      <c r="B26" s="83"/>
      <c r="C26" s="50" t="s">
        <v>79</v>
      </c>
      <c r="D26" s="50"/>
      <c r="E26" s="50" t="s">
        <v>84</v>
      </c>
      <c r="F26" s="50">
        <v>50</v>
      </c>
      <c r="G26" s="50">
        <f>F26*1/CALCULATORS!$B$48</f>
        <v>22.679851220175994</v>
      </c>
      <c r="H26" s="125"/>
      <c r="I26" s="1"/>
    </row>
    <row r="27" spans="2:10" ht="21" thickBot="1">
      <c r="B27" s="91"/>
      <c r="C27" s="126"/>
      <c r="D27" s="126"/>
      <c r="E27" s="126"/>
      <c r="F27" s="126"/>
      <c r="G27" s="126"/>
      <c r="H27" s="127"/>
      <c r="I27" s="1"/>
    </row>
    <row r="28" spans="2:10" ht="20.399999999999999">
      <c r="B28" s="128"/>
      <c r="C28" s="128"/>
      <c r="D28" s="128"/>
      <c r="E28" s="128"/>
      <c r="F28" s="128"/>
      <c r="G28" s="128"/>
      <c r="H28" s="128"/>
      <c r="I28" s="1"/>
    </row>
    <row r="29" spans="2:10" ht="21" thickBot="1">
      <c r="B29" s="128"/>
      <c r="C29" s="128"/>
      <c r="D29" s="128"/>
      <c r="E29" s="128"/>
      <c r="F29" s="128"/>
      <c r="G29" s="128"/>
      <c r="H29" s="128"/>
      <c r="I29" s="1"/>
    </row>
    <row r="30" spans="2:10" ht="20.399999999999999">
      <c r="B30" s="111"/>
      <c r="C30" s="109"/>
      <c r="D30" s="109" t="s">
        <v>40</v>
      </c>
      <c r="E30" s="109" t="s">
        <v>12</v>
      </c>
      <c r="F30" s="109"/>
      <c r="G30" s="109"/>
      <c r="H30" s="110"/>
      <c r="I30" s="1"/>
    </row>
    <row r="31" spans="2:10" ht="21" thickBot="1">
      <c r="B31" s="91"/>
      <c r="C31" s="126" t="s">
        <v>87</v>
      </c>
      <c r="D31" s="126">
        <v>53</v>
      </c>
      <c r="E31" s="126">
        <f>D31*CALCULATORS!B44</f>
        <v>201.39999999999998</v>
      </c>
      <c r="F31" s="126"/>
      <c r="G31" s="126"/>
      <c r="H31" s="127"/>
    </row>
    <row r="32" spans="2:10" ht="21" thickBot="1">
      <c r="B32" s="123"/>
      <c r="C32" s="129" t="s">
        <v>132</v>
      </c>
      <c r="D32" s="129"/>
      <c r="E32" s="122">
        <v>48</v>
      </c>
      <c r="F32" s="129" t="s">
        <v>2</v>
      </c>
      <c r="G32" s="129"/>
      <c r="H32" s="124"/>
    </row>
  </sheetData>
  <sheetProtection password="CD06" sheet="1" objects="1" scenarios="1" selectLockedCells="1"/>
  <mergeCells count="4">
    <mergeCell ref="E9:E13"/>
    <mergeCell ref="E15:E17"/>
    <mergeCell ref="B4:H4"/>
    <mergeCell ref="J4:M4"/>
  </mergeCells>
  <phoneticPr fontId="0"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K32"/>
  <sheetViews>
    <sheetView workbookViewId="0">
      <selection activeCell="H26" sqref="H26"/>
    </sheetView>
  </sheetViews>
  <sheetFormatPr defaultColWidth="10.77734375" defaultRowHeight="17.399999999999999"/>
  <cols>
    <col min="1" max="4" width="5.6640625" style="228" customWidth="1"/>
    <col min="5" max="5" width="15.109375" style="228" customWidth="1"/>
    <col min="6" max="6" width="30.109375" customWidth="1"/>
    <col min="7" max="8" width="20.77734375" customWidth="1"/>
    <col min="12" max="16384" width="10.77734375" style="228"/>
  </cols>
  <sheetData>
    <row r="1" spans="1:11" ht="40.950000000000003" customHeight="1" thickBot="1">
      <c r="A1" s="308" t="s">
        <v>71</v>
      </c>
      <c r="B1" s="309"/>
      <c r="C1" s="309"/>
      <c r="D1" s="309"/>
      <c r="E1" s="309"/>
      <c r="F1" s="309"/>
      <c r="G1" s="309"/>
      <c r="H1" s="310"/>
      <c r="I1" s="228"/>
      <c r="J1" s="228"/>
      <c r="K1" s="228"/>
    </row>
    <row r="2" spans="1:11" s="233" customFormat="1" ht="42" customHeight="1" thickBot="1">
      <c r="A2" s="229" t="s">
        <v>65</v>
      </c>
      <c r="B2" s="230"/>
      <c r="C2" s="230"/>
      <c r="D2" s="230"/>
      <c r="E2" s="230"/>
      <c r="F2" s="230"/>
      <c r="G2" s="231" t="s">
        <v>67</v>
      </c>
      <c r="H2" s="232" t="s">
        <v>145</v>
      </c>
    </row>
    <row r="3" spans="1:11" s="233" customFormat="1" ht="28.95" customHeight="1">
      <c r="A3" s="234"/>
      <c r="B3" s="235" t="s">
        <v>58</v>
      </c>
      <c r="C3" s="236"/>
      <c r="D3" s="236"/>
      <c r="E3" s="236"/>
      <c r="F3" s="236"/>
      <c r="G3" s="237" t="s">
        <v>66</v>
      </c>
      <c r="H3" s="237" t="s">
        <v>66</v>
      </c>
    </row>
    <row r="4" spans="1:11" s="233" customFormat="1" ht="28.95" customHeight="1">
      <c r="A4" s="234"/>
      <c r="B4" s="238"/>
      <c r="C4" s="239" t="s">
        <v>59</v>
      </c>
      <c r="D4" s="240"/>
      <c r="E4" s="240"/>
      <c r="F4" s="240"/>
      <c r="G4" s="241" t="s">
        <v>66</v>
      </c>
      <c r="H4" s="241" t="s">
        <v>66</v>
      </c>
    </row>
    <row r="5" spans="1:11" s="233" customFormat="1" ht="28.95" customHeight="1">
      <c r="A5" s="234"/>
      <c r="B5" s="238"/>
      <c r="C5" s="239" t="s">
        <v>60</v>
      </c>
      <c r="D5" s="240"/>
      <c r="E5" s="240"/>
      <c r="F5" s="240"/>
      <c r="G5" s="241" t="s">
        <v>66</v>
      </c>
      <c r="H5" s="241" t="s">
        <v>66</v>
      </c>
    </row>
    <row r="6" spans="1:11" s="233" customFormat="1" ht="28.95" customHeight="1">
      <c r="A6" s="234"/>
      <c r="B6" s="243" t="s">
        <v>92</v>
      </c>
      <c r="C6" s="240"/>
      <c r="D6" s="240"/>
      <c r="E6" s="240"/>
      <c r="F6" s="240"/>
      <c r="G6" s="241" t="s">
        <v>66</v>
      </c>
      <c r="H6" s="241" t="s">
        <v>66</v>
      </c>
    </row>
    <row r="7" spans="1:11" s="233" customFormat="1" ht="28.95" customHeight="1">
      <c r="A7" s="234"/>
      <c r="C7" s="239" t="s">
        <v>61</v>
      </c>
      <c r="D7" s="240"/>
      <c r="E7" s="240"/>
      <c r="F7" s="240"/>
      <c r="G7" s="241" t="s">
        <v>66</v>
      </c>
      <c r="H7" s="241" t="s">
        <v>66</v>
      </c>
    </row>
    <row r="8" spans="1:11" s="233" customFormat="1" ht="28.95" customHeight="1">
      <c r="A8" s="234"/>
      <c r="B8" s="239"/>
      <c r="C8" s="240" t="s">
        <v>93</v>
      </c>
      <c r="D8" s="240"/>
      <c r="E8" s="240"/>
      <c r="F8" s="240"/>
      <c r="G8" s="241" t="s">
        <v>66</v>
      </c>
      <c r="H8" s="241" t="s">
        <v>66</v>
      </c>
    </row>
    <row r="9" spans="1:11" s="233" customFormat="1" ht="28.95" customHeight="1">
      <c r="A9" s="234"/>
      <c r="B9" s="239"/>
      <c r="C9" s="240" t="s">
        <v>94</v>
      </c>
      <c r="D9" s="240"/>
      <c r="E9" s="240"/>
      <c r="F9" s="240"/>
      <c r="G9" s="241" t="s">
        <v>66</v>
      </c>
      <c r="H9" s="241" t="s">
        <v>66</v>
      </c>
    </row>
    <row r="10" spans="1:11" s="233" customFormat="1" ht="28.95" customHeight="1">
      <c r="A10" s="234"/>
      <c r="B10" s="239" t="s">
        <v>56</v>
      </c>
      <c r="C10" s="240"/>
      <c r="D10" s="240"/>
      <c r="E10" s="240"/>
      <c r="F10" s="240"/>
      <c r="G10" s="241" t="s">
        <v>66</v>
      </c>
      <c r="H10" s="241" t="s">
        <v>66</v>
      </c>
    </row>
    <row r="11" spans="1:11" s="233" customFormat="1" ht="28.95" customHeight="1">
      <c r="A11" s="234"/>
      <c r="B11" s="238"/>
      <c r="C11" s="239" t="s">
        <v>62</v>
      </c>
      <c r="D11" s="240"/>
      <c r="E11" s="240"/>
      <c r="F11" s="240"/>
      <c r="G11" s="241" t="s">
        <v>66</v>
      </c>
      <c r="H11" s="241" t="s">
        <v>66</v>
      </c>
    </row>
    <row r="12" spans="1:11" s="233" customFormat="1" ht="28.95" customHeight="1">
      <c r="A12" s="234"/>
      <c r="B12" s="238"/>
      <c r="C12" s="239" t="s">
        <v>95</v>
      </c>
      <c r="D12" s="240"/>
      <c r="E12" s="240"/>
      <c r="F12" s="240"/>
      <c r="G12" s="241" t="s">
        <v>66</v>
      </c>
      <c r="H12" s="241" t="s">
        <v>66</v>
      </c>
    </row>
    <row r="13" spans="1:11" s="233" customFormat="1" ht="28.95" customHeight="1">
      <c r="A13" s="234"/>
      <c r="B13" s="243"/>
      <c r="C13" s="240" t="s">
        <v>96</v>
      </c>
      <c r="D13" s="240"/>
      <c r="E13" s="240"/>
      <c r="F13" s="240"/>
      <c r="G13" s="241" t="s">
        <v>66</v>
      </c>
      <c r="H13" s="241" t="s">
        <v>66</v>
      </c>
    </row>
    <row r="14" spans="1:11" s="233" customFormat="1" ht="28.95" customHeight="1">
      <c r="A14" s="234"/>
      <c r="B14" s="243" t="s">
        <v>97</v>
      </c>
      <c r="C14" s="240"/>
      <c r="D14" s="240"/>
      <c r="E14" s="240"/>
      <c r="F14" s="240"/>
      <c r="G14" s="241" t="s">
        <v>66</v>
      </c>
      <c r="H14" s="241" t="s">
        <v>66</v>
      </c>
    </row>
    <row r="15" spans="1:11" s="233" customFormat="1" ht="28.95" customHeight="1">
      <c r="A15" s="234"/>
      <c r="B15" s="243"/>
      <c r="C15" s="240" t="s">
        <v>98</v>
      </c>
      <c r="D15" s="240"/>
      <c r="E15" s="240"/>
      <c r="F15" s="240"/>
      <c r="G15" s="241" t="s">
        <v>66</v>
      </c>
      <c r="H15" s="241" t="s">
        <v>66</v>
      </c>
    </row>
    <row r="16" spans="1:11" s="233" customFormat="1" ht="28.95" customHeight="1">
      <c r="A16" s="234"/>
      <c r="B16" s="243"/>
      <c r="C16" s="240" t="s">
        <v>99</v>
      </c>
      <c r="D16" s="240"/>
      <c r="E16" s="240"/>
      <c r="F16" s="240"/>
      <c r="G16" s="241" t="s">
        <v>66</v>
      </c>
      <c r="H16" s="241" t="s">
        <v>66</v>
      </c>
    </row>
    <row r="17" spans="1:11" s="233" customFormat="1" ht="28.95" customHeight="1">
      <c r="A17" s="234"/>
      <c r="B17" s="243"/>
      <c r="C17" s="240" t="s">
        <v>100</v>
      </c>
      <c r="D17" s="240"/>
      <c r="E17" s="240"/>
      <c r="F17" s="240"/>
      <c r="G17" s="241" t="s">
        <v>66</v>
      </c>
      <c r="H17" s="241" t="s">
        <v>66</v>
      </c>
    </row>
    <row r="18" spans="1:11" s="233" customFormat="1" ht="28.95" customHeight="1">
      <c r="A18" s="234"/>
      <c r="B18" s="243"/>
      <c r="C18" s="240" t="s">
        <v>101</v>
      </c>
      <c r="D18" s="240"/>
      <c r="E18" s="240"/>
      <c r="F18" s="240"/>
      <c r="G18" s="241" t="s">
        <v>66</v>
      </c>
      <c r="H18" s="241" t="s">
        <v>66</v>
      </c>
    </row>
    <row r="19" spans="1:11" s="233" customFormat="1" ht="28.95" customHeight="1">
      <c r="A19" s="234"/>
      <c r="B19" s="243"/>
      <c r="C19" s="240" t="s">
        <v>102</v>
      </c>
      <c r="D19" s="240"/>
      <c r="E19" s="240"/>
      <c r="F19" s="240"/>
      <c r="G19" s="241" t="s">
        <v>66</v>
      </c>
      <c r="H19" s="241" t="s">
        <v>66</v>
      </c>
      <c r="J19" s="244"/>
    </row>
    <row r="20" spans="1:11" ht="28.95" customHeight="1">
      <c r="A20" s="234"/>
      <c r="B20" s="239" t="s">
        <v>57</v>
      </c>
      <c r="C20" s="240"/>
      <c r="D20" s="240"/>
      <c r="E20" s="240"/>
      <c r="F20" s="240"/>
      <c r="G20" s="241" t="s">
        <v>66</v>
      </c>
      <c r="H20" s="241" t="s">
        <v>66</v>
      </c>
      <c r="I20" s="228"/>
      <c r="J20" s="228"/>
      <c r="K20" s="228"/>
    </row>
    <row r="21" spans="1:11" ht="28.95" customHeight="1">
      <c r="A21" s="234"/>
      <c r="B21" s="238"/>
      <c r="C21" s="239" t="s">
        <v>64</v>
      </c>
      <c r="D21" s="240"/>
      <c r="E21" s="240"/>
      <c r="F21" s="240"/>
      <c r="G21" s="241" t="s">
        <v>66</v>
      </c>
      <c r="H21" s="241" t="s">
        <v>66</v>
      </c>
      <c r="I21" s="228"/>
      <c r="J21" s="228"/>
      <c r="K21" s="228"/>
    </row>
    <row r="22" spans="1:11" ht="28.95" customHeight="1">
      <c r="A22" s="234"/>
      <c r="B22" s="238"/>
      <c r="C22" s="239" t="s">
        <v>63</v>
      </c>
      <c r="D22" s="240"/>
      <c r="E22" s="240"/>
      <c r="F22" s="240"/>
      <c r="G22" s="241" t="s">
        <v>66</v>
      </c>
      <c r="H22" s="241" t="s">
        <v>66</v>
      </c>
      <c r="I22" s="228"/>
      <c r="J22" s="228"/>
      <c r="K22" s="228"/>
    </row>
    <row r="23" spans="1:11" ht="28.95" customHeight="1">
      <c r="A23" s="234"/>
      <c r="B23" s="239" t="s">
        <v>55</v>
      </c>
      <c r="C23" s="240"/>
      <c r="D23" s="240"/>
      <c r="E23" s="240"/>
      <c r="F23" s="240"/>
      <c r="G23" s="241" t="s">
        <v>66</v>
      </c>
      <c r="H23" s="241" t="s">
        <v>66</v>
      </c>
      <c r="I23" s="228"/>
      <c r="J23" s="228"/>
      <c r="K23" s="228"/>
    </row>
    <row r="24" spans="1:11" ht="28.95" customHeight="1">
      <c r="A24" s="234"/>
      <c r="B24" s="236"/>
      <c r="C24" s="236" t="s">
        <v>103</v>
      </c>
      <c r="D24" s="236"/>
      <c r="E24" s="236"/>
      <c r="F24" s="236"/>
      <c r="G24" s="241" t="s">
        <v>66</v>
      </c>
      <c r="H24" s="241" t="s">
        <v>66</v>
      </c>
      <c r="I24" s="228"/>
      <c r="J24" s="228"/>
      <c r="K24" s="228"/>
    </row>
    <row r="25" spans="1:11" ht="28.95" customHeight="1">
      <c r="A25" s="234"/>
      <c r="B25" s="239"/>
      <c r="C25" s="240" t="s">
        <v>104</v>
      </c>
      <c r="D25" s="240"/>
      <c r="E25" s="240"/>
      <c r="F25" s="240"/>
      <c r="G25" s="241" t="s">
        <v>66</v>
      </c>
      <c r="H25" s="241" t="s">
        <v>66</v>
      </c>
      <c r="I25" s="228"/>
      <c r="J25" s="228"/>
      <c r="K25" s="228"/>
    </row>
    <row r="26" spans="1:11" ht="28.95" customHeight="1">
      <c r="A26" s="234"/>
      <c r="B26" s="236"/>
      <c r="C26" s="236"/>
      <c r="D26" s="236"/>
      <c r="E26" s="236"/>
      <c r="F26" s="236"/>
      <c r="G26" s="245"/>
      <c r="H26" s="242"/>
      <c r="I26" s="228"/>
      <c r="J26" s="228"/>
      <c r="K26" s="228"/>
    </row>
    <row r="27" spans="1:11" ht="28.95" customHeight="1">
      <c r="A27" s="234"/>
      <c r="B27" s="239"/>
      <c r="C27" s="240"/>
      <c r="D27" s="240"/>
      <c r="E27" s="240"/>
      <c r="F27" s="240"/>
      <c r="G27" s="245"/>
      <c r="H27" s="242"/>
      <c r="I27" s="228"/>
      <c r="J27" s="228"/>
      <c r="K27" s="228"/>
    </row>
    <row r="28" spans="1:11" ht="28.95" customHeight="1" thickBot="1">
      <c r="A28" s="234"/>
      <c r="B28" s="246"/>
      <c r="C28" s="247"/>
      <c r="D28" s="247"/>
      <c r="E28" s="247"/>
      <c r="F28" s="247"/>
      <c r="G28" s="248"/>
      <c r="H28" s="249"/>
      <c r="I28" s="228"/>
      <c r="J28" s="228"/>
      <c r="K28" s="228"/>
    </row>
    <row r="29" spans="1:11" ht="22.05" customHeight="1">
      <c r="A29" s="250" t="s">
        <v>105</v>
      </c>
      <c r="B29" s="251"/>
      <c r="C29" s="251"/>
      <c r="D29" s="251"/>
      <c r="E29" s="264">
        <v>42504</v>
      </c>
      <c r="F29" s="252" t="s">
        <v>67</v>
      </c>
      <c r="G29" s="253" t="s">
        <v>70</v>
      </c>
      <c r="H29" s="254"/>
      <c r="I29" s="228"/>
      <c r="J29" s="228"/>
      <c r="K29" s="228"/>
    </row>
    <row r="30" spans="1:11" ht="22.05" customHeight="1">
      <c r="A30" s="255" t="s">
        <v>68</v>
      </c>
      <c r="B30" s="256"/>
      <c r="C30" s="256"/>
      <c r="D30" s="256"/>
      <c r="E30" s="264">
        <v>42504</v>
      </c>
      <c r="F30" s="257" t="s">
        <v>145</v>
      </c>
      <c r="G30" s="258" t="s">
        <v>69</v>
      </c>
      <c r="H30" s="259"/>
      <c r="I30" s="228"/>
      <c r="J30" s="228"/>
      <c r="K30" s="228"/>
    </row>
    <row r="31" spans="1:11" ht="22.05" customHeight="1" thickBot="1">
      <c r="A31" s="260" t="s">
        <v>106</v>
      </c>
      <c r="B31" s="261"/>
      <c r="C31" s="261"/>
      <c r="D31" s="261"/>
      <c r="E31" s="264">
        <v>42504</v>
      </c>
      <c r="F31" s="262" t="s">
        <v>107</v>
      </c>
      <c r="G31" s="263" t="s">
        <v>108</v>
      </c>
      <c r="I31" s="228"/>
      <c r="J31" s="228"/>
      <c r="K31" s="228"/>
    </row>
    <row r="32" spans="1:11" ht="22.05" customHeight="1"/>
  </sheetData>
  <sheetProtection algorithmName="SHA-512" hashValue="QNAqBpZLneyGKVW8MZkcmQN3r3GpEDPWLNMAWdm+6v0MMxmhHzF1EYgXDcAyx7qxWTaKrnRAucWzzMm488WfHA==" saltValue="2Pc0Oe7UVtrr3sywTJqvTA==" spinCount="100000" sheet="1" objects="1" scenarios="1" selectLockedCells="1"/>
  <mergeCells count="1">
    <mergeCell ref="A1:H1"/>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VOORBLAD</vt:lpstr>
      <vt:lpstr>CALCULATORS</vt:lpstr>
      <vt:lpstr>LIMITATIONS</vt:lpstr>
      <vt:lpstr>CONTROLE, REVISIE</vt:lpstr>
      <vt:lpstr>VOORBLAD!Afdrukbereik</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Jansen</dc:creator>
  <cp:keywords/>
  <dc:description/>
  <cp:lastModifiedBy>Dirk Jansen</cp:lastModifiedBy>
  <cp:lastPrinted>2016-05-14T10:34:41Z</cp:lastPrinted>
  <dcterms:created xsi:type="dcterms:W3CDTF">2005-05-21T08:59:53Z</dcterms:created>
  <dcterms:modified xsi:type="dcterms:W3CDTF">2016-06-06T07:47:38Z</dcterms:modified>
  <cp:category/>
</cp:coreProperties>
</file>